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deri\610-Fartoy\Personoppl. Sjøfolk\OVERENSKOMST\Hyretabeller\2024\"/>
    </mc:Choice>
  </mc:AlternateContent>
  <xr:revisionPtr revIDLastSave="0" documentId="13_ncr:1_{004DD068-DB42-42C8-A3D5-D6D020F58B46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Forhandlingsresultat" sheetId="8" r:id="rId1"/>
    <sheet name="TARIFFER" sheetId="1" r:id="rId2"/>
    <sheet name="Endringslogg-formler" sheetId="9" r:id="rId3"/>
  </sheets>
  <definedNames>
    <definedName name="_xlnm.Print_Area" localSheetId="1">TARIFFER!$A$1:$O$231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2" i="1" l="1"/>
  <c r="B76" i="1"/>
  <c r="I158" i="1"/>
  <c r="I152" i="1"/>
  <c r="E174" i="1"/>
  <c r="K174" i="1"/>
  <c r="I174" i="1"/>
  <c r="G174" i="1"/>
  <c r="C174" i="1"/>
  <c r="K166" i="1"/>
  <c r="I166" i="1"/>
  <c r="G166" i="1"/>
  <c r="E166" i="1"/>
  <c r="C166" i="1"/>
  <c r="K158" i="1"/>
  <c r="G158" i="1"/>
  <c r="E158" i="1"/>
  <c r="C158" i="1"/>
  <c r="K152" i="1"/>
  <c r="G152" i="1"/>
  <c r="E152" i="1"/>
  <c r="C152" i="1"/>
  <c r="K144" i="1"/>
  <c r="I144" i="1"/>
  <c r="G144" i="1"/>
  <c r="E144" i="1"/>
  <c r="C144" i="1"/>
  <c r="K136" i="1"/>
  <c r="I136" i="1"/>
  <c r="G136" i="1"/>
  <c r="E136" i="1"/>
  <c r="C136" i="1"/>
  <c r="K128" i="1"/>
  <c r="I128" i="1"/>
  <c r="G128" i="1"/>
  <c r="E128" i="1"/>
  <c r="C128" i="1"/>
  <c r="K120" i="1"/>
  <c r="I120" i="1"/>
  <c r="G120" i="1"/>
  <c r="E120" i="1"/>
  <c r="C120" i="1"/>
  <c r="D221" i="1" l="1"/>
  <c r="N105" i="1"/>
  <c r="L105" i="1"/>
  <c r="J105" i="1"/>
  <c r="H105" i="1"/>
  <c r="F105" i="1"/>
  <c r="D105" i="1"/>
  <c r="B105" i="1"/>
  <c r="D102" i="1" l="1"/>
  <c r="B102" i="1"/>
  <c r="N99" i="1"/>
  <c r="L99" i="1"/>
  <c r="J99" i="1"/>
  <c r="H99" i="1"/>
  <c r="F99" i="1"/>
  <c r="D99" i="1"/>
  <c r="B99" i="1"/>
  <c r="J97" i="1"/>
  <c r="H97" i="1"/>
  <c r="F97" i="1"/>
  <c r="D97" i="1"/>
  <c r="B97" i="1"/>
  <c r="J95" i="1"/>
  <c r="H95" i="1"/>
  <c r="F95" i="1"/>
  <c r="D95" i="1"/>
  <c r="B95" i="1"/>
  <c r="J91" i="1"/>
  <c r="H91" i="1"/>
  <c r="F91" i="1"/>
  <c r="D91" i="1"/>
  <c r="B91" i="1"/>
  <c r="J89" i="1"/>
  <c r="H89" i="1"/>
  <c r="F89" i="1"/>
  <c r="D89" i="1"/>
  <c r="B89" i="1"/>
  <c r="D82" i="1"/>
  <c r="F82" i="1"/>
  <c r="H82" i="1"/>
  <c r="J82" i="1"/>
  <c r="L82" i="1"/>
  <c r="N82" i="1"/>
  <c r="J76" i="1"/>
  <c r="H76" i="1"/>
  <c r="F76" i="1"/>
  <c r="D76" i="1"/>
  <c r="J74" i="1"/>
  <c r="H74" i="1"/>
  <c r="F74" i="1"/>
  <c r="D74" i="1"/>
  <c r="B74" i="1"/>
  <c r="J69" i="1"/>
  <c r="H69" i="1"/>
  <c r="F69" i="1"/>
  <c r="D69" i="1"/>
  <c r="B69" i="1"/>
  <c r="J65" i="1"/>
  <c r="H65" i="1"/>
  <c r="F65" i="1"/>
  <c r="D65" i="1"/>
  <c r="B65" i="1"/>
  <c r="J58" i="1"/>
  <c r="H58" i="1"/>
  <c r="F58" i="1"/>
  <c r="D58" i="1"/>
  <c r="B58" i="1"/>
  <c r="L56" i="1"/>
  <c r="J56" i="1"/>
  <c r="H56" i="1"/>
  <c r="F56" i="1"/>
  <c r="D56" i="1"/>
  <c r="B56" i="1"/>
  <c r="F43" i="1"/>
  <c r="D43" i="1"/>
  <c r="B43" i="1"/>
  <c r="H41" i="1"/>
  <c r="F41" i="1"/>
  <c r="D41" i="1"/>
  <c r="J39" i="1"/>
  <c r="H39" i="1"/>
  <c r="F39" i="1"/>
  <c r="D39" i="1"/>
  <c r="B39" i="1"/>
  <c r="D223" i="1"/>
  <c r="J102" i="1"/>
  <c r="H102" i="1"/>
  <c r="F102" i="1"/>
  <c r="N84" i="1"/>
  <c r="L84" i="1"/>
  <c r="J84" i="1"/>
  <c r="H84" i="1"/>
  <c r="F84" i="1"/>
  <c r="D84" i="1"/>
  <c r="B84" i="1"/>
  <c r="J80" i="1"/>
  <c r="H80" i="1"/>
  <c r="F80" i="1"/>
  <c r="D80" i="1"/>
  <c r="B80" i="1"/>
  <c r="J63" i="1"/>
  <c r="H63" i="1"/>
  <c r="F63" i="1"/>
  <c r="D63" i="1"/>
  <c r="B63" i="1"/>
  <c r="E4" i="8"/>
  <c r="L37" i="1"/>
  <c r="J37" i="1"/>
  <c r="H37" i="1"/>
  <c r="F37" i="1"/>
  <c r="D37" i="1"/>
  <c r="H35" i="1"/>
  <c r="F35" i="1"/>
  <c r="D35" i="1"/>
  <c r="B41" i="1"/>
  <c r="B37" i="1"/>
  <c r="B35" i="1"/>
  <c r="F33" i="1"/>
  <c r="D33" i="1"/>
  <c r="B33" i="1"/>
  <c r="L72" i="1" l="1"/>
  <c r="L93" i="1" l="1"/>
  <c r="J93" i="1"/>
  <c r="H93" i="1"/>
  <c r="F93" i="1"/>
  <c r="D93" i="1"/>
  <c r="B93" i="1"/>
  <c r="L87" i="1"/>
  <c r="J87" i="1"/>
  <c r="H87" i="1"/>
  <c r="F87" i="1"/>
  <c r="D87" i="1"/>
  <c r="B87" i="1"/>
  <c r="L78" i="1"/>
  <c r="J78" i="1"/>
  <c r="H78" i="1"/>
  <c r="F78" i="1"/>
  <c r="D78" i="1"/>
  <c r="B78" i="1"/>
  <c r="J72" i="1"/>
  <c r="H72" i="1"/>
  <c r="F72" i="1"/>
  <c r="D72" i="1"/>
  <c r="B72" i="1"/>
  <c r="B67" i="1"/>
  <c r="D67" i="1"/>
  <c r="F67" i="1"/>
  <c r="H67" i="1"/>
  <c r="J67" i="1"/>
  <c r="L67" i="1"/>
  <c r="L61" i="1"/>
  <c r="J61" i="1"/>
  <c r="H61" i="1"/>
  <c r="F61" i="1"/>
  <c r="D61" i="1"/>
  <c r="B61" i="1"/>
  <c r="L48" i="1"/>
  <c r="D222" i="1" l="1"/>
  <c r="D220" i="1"/>
  <c r="F48" i="1" l="1"/>
  <c r="J48" i="1"/>
  <c r="H48" i="1"/>
  <c r="B52" i="1"/>
  <c r="J52" i="1"/>
  <c r="B50" i="1"/>
  <c r="D52" i="1"/>
  <c r="H52" i="1"/>
  <c r="H50" i="1"/>
  <c r="F52" i="1"/>
  <c r="F50" i="1"/>
  <c r="D48" i="1"/>
  <c r="D50" i="1"/>
  <c r="B48" i="1"/>
  <c r="J50" i="1"/>
  <c r="E3" i="8"/>
  <c r="D217" i="1"/>
  <c r="D216" i="1"/>
  <c r="D215" i="1"/>
  <c r="D214" i="1"/>
  <c r="D213" i="1"/>
  <c r="D208" i="1"/>
  <c r="D207" i="1"/>
  <c r="D152" i="1" l="1"/>
  <c r="J152" i="1"/>
  <c r="B152" i="1"/>
  <c r="H152" i="1"/>
  <c r="F152" i="1"/>
  <c r="J114" i="1"/>
  <c r="J118" i="1" s="1"/>
  <c r="J115" i="1" s="1"/>
  <c r="J117" i="1" s="1"/>
  <c r="B114" i="1"/>
  <c r="B118" i="1" s="1"/>
  <c r="B115" i="1" s="1"/>
  <c r="B116" i="1" s="1"/>
  <c r="H114" i="1"/>
  <c r="H118" i="1" s="1"/>
  <c r="H115" i="1" s="1"/>
  <c r="H117" i="1" s="1"/>
  <c r="D114" i="1"/>
  <c r="D118" i="1" s="1"/>
  <c r="F114" i="1"/>
  <c r="F118" i="1" s="1"/>
  <c r="F115" i="1" s="1"/>
  <c r="F117" i="1" s="1"/>
  <c r="J155" i="1"/>
  <c r="B155" i="1"/>
  <c r="H155" i="1"/>
  <c r="F155" i="1"/>
  <c r="D155" i="1"/>
  <c r="D115" i="1"/>
  <c r="D117" i="1" s="1"/>
  <c r="J174" i="1"/>
  <c r="H120" i="1"/>
  <c r="H122" i="1" s="1"/>
  <c r="F128" i="1"/>
  <c r="F129" i="1" s="1"/>
  <c r="D144" i="1"/>
  <c r="D146" i="1" s="1"/>
  <c r="B158" i="1"/>
  <c r="B159" i="1" s="1"/>
  <c r="J158" i="1"/>
  <c r="J159" i="1" s="1"/>
  <c r="H136" i="1"/>
  <c r="H137" i="1" s="1"/>
  <c r="F166" i="1"/>
  <c r="F168" i="1" s="1"/>
  <c r="D174" i="1"/>
  <c r="J120" i="1"/>
  <c r="J121" i="1" s="1"/>
  <c r="H128" i="1"/>
  <c r="H130" i="1" s="1"/>
  <c r="F144" i="1"/>
  <c r="F146" i="1" s="1"/>
  <c r="D158" i="1"/>
  <c r="D159" i="1" s="1"/>
  <c r="D163" i="1" s="1"/>
  <c r="B136" i="1"/>
  <c r="B137" i="1" s="1"/>
  <c r="J136" i="1"/>
  <c r="J137" i="1" s="1"/>
  <c r="D166" i="1"/>
  <c r="D168" i="1" s="1"/>
  <c r="F174" i="1"/>
  <c r="B128" i="1"/>
  <c r="B129" i="1" s="1"/>
  <c r="J128" i="1"/>
  <c r="J130" i="1" s="1"/>
  <c r="H144" i="1"/>
  <c r="H145" i="1" s="1"/>
  <c r="H149" i="1" s="1"/>
  <c r="F158" i="1"/>
  <c r="F160" i="1" s="1"/>
  <c r="D136" i="1"/>
  <c r="D137" i="1" s="1"/>
  <c r="J166" i="1"/>
  <c r="J167" i="1" s="1"/>
  <c r="J171" i="1" s="1"/>
  <c r="B166" i="1"/>
  <c r="B168" i="1" s="1"/>
  <c r="H174" i="1"/>
  <c r="F120" i="1"/>
  <c r="F121" i="1" s="1"/>
  <c r="D128" i="1"/>
  <c r="D129" i="1" s="1"/>
  <c r="B144" i="1"/>
  <c r="B146" i="1" s="1"/>
  <c r="J144" i="1"/>
  <c r="J146" i="1" s="1"/>
  <c r="H158" i="1"/>
  <c r="H160" i="1" s="1"/>
  <c r="F136" i="1"/>
  <c r="B182" i="1" s="1"/>
  <c r="H166" i="1"/>
  <c r="H167" i="1" s="1"/>
  <c r="B174" i="1"/>
  <c r="J175" i="1"/>
  <c r="J179" i="1" s="1"/>
  <c r="H175" i="1"/>
  <c r="H179" i="1" s="1"/>
  <c r="F175" i="1"/>
  <c r="F180" i="1" s="1"/>
  <c r="D175" i="1"/>
  <c r="D179" i="1" s="1"/>
  <c r="B175" i="1"/>
  <c r="B179" i="1" s="1"/>
  <c r="C125" i="1"/>
  <c r="E125" i="1"/>
  <c r="G125" i="1"/>
  <c r="I125" i="1"/>
  <c r="C126" i="1"/>
  <c r="E126" i="1"/>
  <c r="G126" i="1"/>
  <c r="I126" i="1"/>
  <c r="J176" i="1"/>
  <c r="H176" i="1"/>
  <c r="F176" i="1"/>
  <c r="D176" i="1"/>
  <c r="B176" i="1"/>
  <c r="J138" i="1"/>
  <c r="H138" i="1"/>
  <c r="F138" i="1"/>
  <c r="D138" i="1"/>
  <c r="B138" i="1"/>
  <c r="H153" i="1" l="1"/>
  <c r="H154" i="1"/>
  <c r="H156" i="1" s="1"/>
  <c r="B154" i="1"/>
  <c r="B156" i="1" s="1"/>
  <c r="B153" i="1"/>
  <c r="J153" i="1"/>
  <c r="J154" i="1"/>
  <c r="J156" i="1" s="1"/>
  <c r="F154" i="1"/>
  <c r="F156" i="1" s="1"/>
  <c r="F153" i="1"/>
  <c r="D153" i="1"/>
  <c r="D154" i="1"/>
  <c r="D156" i="1" s="1"/>
  <c r="D185" i="1"/>
  <c r="F185" i="1"/>
  <c r="H185" i="1"/>
  <c r="B185" i="1"/>
  <c r="J177" i="1"/>
  <c r="J178" i="1" s="1"/>
  <c r="H169" i="1"/>
  <c r="F139" i="1"/>
  <c r="F140" i="1" s="1"/>
  <c r="D161" i="1"/>
  <c r="B161" i="1"/>
  <c r="J147" i="1"/>
  <c r="J148" i="1" s="1"/>
  <c r="F131" i="1"/>
  <c r="D123" i="1"/>
  <c r="L109" i="1"/>
  <c r="B109" i="1"/>
  <c r="D177" i="1"/>
  <c r="D178" i="1" s="1"/>
  <c r="B177" i="1"/>
  <c r="B178" i="1" s="1"/>
  <c r="J169" i="1"/>
  <c r="H139" i="1"/>
  <c r="H140" i="1" s="1"/>
  <c r="F161" i="1"/>
  <c r="F162" i="1" s="1"/>
  <c r="D147" i="1"/>
  <c r="D148" i="1" s="1"/>
  <c r="B147" i="1"/>
  <c r="B148" i="1" s="1"/>
  <c r="H131" i="1"/>
  <c r="H132" i="1" s="1"/>
  <c r="F123" i="1"/>
  <c r="F109" i="1"/>
  <c r="N109" i="1"/>
  <c r="F177" i="1"/>
  <c r="F178" i="1" s="1"/>
  <c r="D169" i="1"/>
  <c r="D170" i="1" s="1"/>
  <c r="B169" i="1"/>
  <c r="B170" i="1" s="1"/>
  <c r="J139" i="1"/>
  <c r="J140" i="1" s="1"/>
  <c r="H161" i="1"/>
  <c r="H162" i="1" s="1"/>
  <c r="F147" i="1"/>
  <c r="F148" i="1" s="1"/>
  <c r="B131" i="1"/>
  <c r="J131" i="1"/>
  <c r="J132" i="1" s="1"/>
  <c r="H123" i="1"/>
  <c r="H124" i="1" s="1"/>
  <c r="H109" i="1"/>
  <c r="H177" i="1"/>
  <c r="H178" i="1" s="1"/>
  <c r="F169" i="1"/>
  <c r="F170" i="1" s="1"/>
  <c r="D139" i="1"/>
  <c r="D140" i="1" s="1"/>
  <c r="B139" i="1"/>
  <c r="B140" i="1" s="1"/>
  <c r="J161" i="1"/>
  <c r="H147" i="1"/>
  <c r="D131" i="1"/>
  <c r="B123" i="1"/>
  <c r="J123" i="1"/>
  <c r="J109" i="1"/>
  <c r="D109" i="1"/>
  <c r="F108" i="1"/>
  <c r="N108" i="1"/>
  <c r="H108" i="1"/>
  <c r="B108" i="1"/>
  <c r="J108" i="1"/>
  <c r="D108" i="1"/>
  <c r="L108" i="1"/>
  <c r="B167" i="1"/>
  <c r="B172" i="1" s="1"/>
  <c r="J129" i="1"/>
  <c r="J133" i="1" s="1"/>
  <c r="J145" i="1"/>
  <c r="J150" i="1" s="1"/>
  <c r="D167" i="1"/>
  <c r="D171" i="1" s="1"/>
  <c r="H129" i="1"/>
  <c r="H133" i="1" s="1"/>
  <c r="F167" i="1"/>
  <c r="F171" i="1" s="1"/>
  <c r="F130" i="1"/>
  <c r="H168" i="1"/>
  <c r="F159" i="1"/>
  <c r="F164" i="1" s="1"/>
  <c r="F182" i="1"/>
  <c r="D160" i="1"/>
  <c r="H146" i="1"/>
  <c r="J160" i="1"/>
  <c r="F179" i="1"/>
  <c r="D180" i="1"/>
  <c r="F122" i="1"/>
  <c r="H150" i="1"/>
  <c r="J168" i="1"/>
  <c r="H121" i="1"/>
  <c r="H125" i="1" s="1"/>
  <c r="B145" i="1"/>
  <c r="B149" i="1" s="1"/>
  <c r="D182" i="1"/>
  <c r="H172" i="1"/>
  <c r="H171" i="1"/>
  <c r="F126" i="1"/>
  <c r="F125" i="1"/>
  <c r="B163" i="1"/>
  <c r="B164" i="1"/>
  <c r="B142" i="1"/>
  <c r="B141" i="1"/>
  <c r="J126" i="1"/>
  <c r="J125" i="1"/>
  <c r="B133" i="1"/>
  <c r="B134" i="1"/>
  <c r="D142" i="1"/>
  <c r="D141" i="1"/>
  <c r="D134" i="1"/>
  <c r="D133" i="1"/>
  <c r="B184" i="1"/>
  <c r="B183" i="1"/>
  <c r="F134" i="1"/>
  <c r="F133" i="1"/>
  <c r="H141" i="1"/>
  <c r="H142" i="1"/>
  <c r="J164" i="1"/>
  <c r="J163" i="1"/>
  <c r="J141" i="1"/>
  <c r="J142" i="1"/>
  <c r="H159" i="1"/>
  <c r="H182" i="1"/>
  <c r="J122" i="1"/>
  <c r="B130" i="1"/>
  <c r="D130" i="1"/>
  <c r="F145" i="1"/>
  <c r="D145" i="1"/>
  <c r="B160" i="1"/>
  <c r="D164" i="1"/>
  <c r="F137" i="1"/>
  <c r="B180" i="1"/>
  <c r="H180" i="1"/>
  <c r="J180" i="1"/>
  <c r="J172" i="1"/>
  <c r="J116" i="1"/>
  <c r="H116" i="1"/>
  <c r="F116" i="1"/>
  <c r="D116" i="1"/>
  <c r="B117" i="1"/>
  <c r="H170" i="1" l="1"/>
  <c r="B186" i="1"/>
  <c r="F183" i="1"/>
  <c r="F188" i="1" s="1"/>
  <c r="B162" i="1"/>
  <c r="H184" i="1"/>
  <c r="H186" i="1" s="1"/>
  <c r="D184" i="1"/>
  <c r="D186" i="1" s="1"/>
  <c r="J170" i="1"/>
  <c r="H148" i="1"/>
  <c r="D132" i="1"/>
  <c r="J124" i="1"/>
  <c r="F184" i="1"/>
  <c r="F186" i="1" s="1"/>
  <c r="F124" i="1"/>
  <c r="D162" i="1"/>
  <c r="F132" i="1"/>
  <c r="J162" i="1"/>
  <c r="B132" i="1"/>
  <c r="J134" i="1"/>
  <c r="H134" i="1"/>
  <c r="D172" i="1"/>
  <c r="J149" i="1"/>
  <c r="B171" i="1"/>
  <c r="F163" i="1"/>
  <c r="H126" i="1"/>
  <c r="F172" i="1"/>
  <c r="D183" i="1"/>
  <c r="D187" i="1" s="1"/>
  <c r="B150" i="1"/>
  <c r="F150" i="1"/>
  <c r="F149" i="1"/>
  <c r="H164" i="1"/>
  <c r="H163" i="1"/>
  <c r="B187" i="1"/>
  <c r="B188" i="1"/>
  <c r="H183" i="1"/>
  <c r="H187" i="1" s="1"/>
  <c r="F142" i="1"/>
  <c r="F141" i="1"/>
  <c r="D150" i="1"/>
  <c r="D149" i="1"/>
  <c r="F187" i="1" l="1"/>
  <c r="D188" i="1"/>
  <c r="H188" i="1"/>
  <c r="N106" i="1"/>
  <c r="L106" i="1"/>
  <c r="J106" i="1"/>
  <c r="H106" i="1"/>
  <c r="F106" i="1"/>
  <c r="D106" i="1"/>
  <c r="B107" i="1"/>
  <c r="N107" i="1" l="1"/>
  <c r="N110" i="1" s="1"/>
  <c r="H107" i="1"/>
  <c r="H110" i="1" s="1"/>
  <c r="J111" i="1"/>
  <c r="J112" i="1"/>
  <c r="N111" i="1"/>
  <c r="N112" i="1"/>
  <c r="F107" i="1"/>
  <c r="F110" i="1" s="1"/>
  <c r="B106" i="1"/>
  <c r="L107" i="1"/>
  <c r="L110" i="1" s="1"/>
  <c r="H111" i="1"/>
  <c r="H112" i="1"/>
  <c r="L112" i="1"/>
  <c r="L111" i="1"/>
  <c r="D111" i="1"/>
  <c r="D112" i="1"/>
  <c r="F111" i="1"/>
  <c r="F112" i="1"/>
  <c r="D107" i="1"/>
  <c r="D110" i="1" s="1"/>
  <c r="J107" i="1"/>
  <c r="J110" i="1" s="1"/>
  <c r="B110" i="1"/>
  <c r="B111" i="1" l="1"/>
  <c r="B112" i="1"/>
  <c r="B120" i="1"/>
  <c r="B121" i="1" s="1"/>
  <c r="B125" i="1" l="1"/>
  <c r="B126" i="1"/>
  <c r="B122" i="1"/>
  <c r="B124" i="1" l="1"/>
  <c r="D120" i="1"/>
  <c r="D122" i="1" s="1"/>
  <c r="D124" i="1" l="1"/>
  <c r="D121" i="1"/>
  <c r="D126" i="1" l="1"/>
  <c r="D125" i="1"/>
</calcChain>
</file>

<file path=xl/sharedStrings.xml><?xml version="1.0" encoding="utf-8"?>
<sst xmlns="http://schemas.openxmlformats.org/spreadsheetml/2006/main" count="676" uniqueCount="136">
  <si>
    <t>Månedslønn</t>
  </si>
  <si>
    <t>0 år</t>
  </si>
  <si>
    <t>1 år</t>
  </si>
  <si>
    <t>3 år</t>
  </si>
  <si>
    <t>5 år</t>
  </si>
  <si>
    <t xml:space="preserve">8 år </t>
  </si>
  <si>
    <t>10 år</t>
  </si>
  <si>
    <t>4, 5 %</t>
  </si>
  <si>
    <t>Uniform</t>
  </si>
  <si>
    <t>15 år</t>
  </si>
  <si>
    <t>Trinn 4 - "Kronprins Haakon"</t>
  </si>
  <si>
    <t>Trålbas</t>
  </si>
  <si>
    <t>Nettmann</t>
  </si>
  <si>
    <t>Forpleningsassistent med fagbrev</t>
  </si>
  <si>
    <t xml:space="preserve">Skipsfører </t>
  </si>
  <si>
    <t xml:space="preserve">Overstyrmann </t>
  </si>
  <si>
    <t xml:space="preserve">1.styrmann </t>
  </si>
  <si>
    <t xml:space="preserve">Maskinsjef </t>
  </si>
  <si>
    <t xml:space="preserve">1.maskinist </t>
  </si>
  <si>
    <t>Kostpenger</t>
  </si>
  <si>
    <t>Elektriker-ETR</t>
  </si>
  <si>
    <t>Elektriker-ETO</t>
  </si>
  <si>
    <t>1.halvår</t>
  </si>
  <si>
    <t>2.halvår</t>
  </si>
  <si>
    <t>3.halvår</t>
  </si>
  <si>
    <t>4.halvår</t>
  </si>
  <si>
    <t>HYRESATSER</t>
  </si>
  <si>
    <t>mellom</t>
  </si>
  <si>
    <t>og</t>
  </si>
  <si>
    <t xml:space="preserve">HAVFORSKNINGSINSTITUTTET (HI) </t>
  </si>
  <si>
    <t>vedrørende besetningen på Havforskningsinstituttets fartøyer</t>
  </si>
  <si>
    <t xml:space="preserve"> "Dr. Fridtjof Nansen" </t>
  </si>
  <si>
    <t xml:space="preserve"> "Johan Hjort" </t>
  </si>
  <si>
    <t xml:space="preserve"> "G. O. Sars"  </t>
  </si>
  <si>
    <t>"Kronprins Haakon"</t>
  </si>
  <si>
    <t xml:space="preserve"> "G. M. Dannevig"</t>
  </si>
  <si>
    <t>"Hans Brattström"</t>
  </si>
  <si>
    <t xml:space="preserve"> DET NORSKE MASKINISTFORBUND </t>
  </si>
  <si>
    <t xml:space="preserve">LO v/ NORSK SJØOFFISERSFORBUND </t>
  </si>
  <si>
    <t>LO v/NORSK SJØMANNSFORBUND</t>
  </si>
  <si>
    <t>Lærling dekk/maskin/elektro</t>
  </si>
  <si>
    <t>Månedslønn er lik grunnhyre x 1,797</t>
  </si>
  <si>
    <t>Overtidsfaktor:</t>
  </si>
  <si>
    <t>H = Grunnhyre</t>
  </si>
  <si>
    <t>H x 1,4 x 1,12=</t>
  </si>
  <si>
    <t>H x 2 x 1,12=</t>
  </si>
  <si>
    <t>Hverdag</t>
  </si>
  <si>
    <t>Søndag</t>
  </si>
  <si>
    <t>UTREGNINGER OVERTID:</t>
  </si>
  <si>
    <t>Felles for trinn 2-3-4   -   ikke fastlønn</t>
  </si>
  <si>
    <t xml:space="preserve">Kompensasjon som ikke er inkludert i fastlønn: </t>
  </si>
  <si>
    <t>Grunnhyre</t>
  </si>
  <si>
    <t>Overtid hv.dag</t>
  </si>
  <si>
    <t>Overtid helg</t>
  </si>
  <si>
    <t>Samlet månedslønn</t>
  </si>
  <si>
    <t>2.maskinist</t>
  </si>
  <si>
    <t>kr. pr måned</t>
  </si>
  <si>
    <t>Merknader:</t>
  </si>
  <si>
    <t xml:space="preserve"> </t>
  </si>
  <si>
    <t>Pr. utsjekk og prøve</t>
  </si>
  <si>
    <t>Overstyrmann Hydrograf</t>
  </si>
  <si>
    <t>Skipsfører</t>
  </si>
  <si>
    <t>1.styrmann  Hydrograf</t>
  </si>
  <si>
    <t>2.styrmann  Hydrograf</t>
  </si>
  <si>
    <t>1.maskinist  Hydrograf</t>
  </si>
  <si>
    <t>2.maskinist  Hydrograf</t>
  </si>
  <si>
    <t xml:space="preserve">Forpleningssjef </t>
  </si>
  <si>
    <t xml:space="preserve">"Hydrograf" </t>
  </si>
  <si>
    <t>YS Stat ved Parat</t>
  </si>
  <si>
    <t>"Prinsesse Ingrid Alexsandra"</t>
  </si>
  <si>
    <t>Trinn 1 - "G.M. Dannevig ", "Hans Brattström"og "Prinsesse Ingrid Alexsandra"</t>
  </si>
  <si>
    <t>Fast</t>
  </si>
  <si>
    <t>§ 5.7 Tillegg utv. stillinger ved operasjoner i Afrika, Asia, Mellom- og Sør-Amerika</t>
  </si>
  <si>
    <t xml:space="preserve">§ 5.6 Hovedverneombud på hvert fartøy </t>
  </si>
  <si>
    <t>§ 3.5 Ekstra dager om bord</t>
  </si>
  <si>
    <t xml:space="preserve">§ 5.3 Assessortillegg                   </t>
  </si>
  <si>
    <t>§ 5.5 SSO tillegg</t>
  </si>
  <si>
    <t>Ekstra navigatør Kystfartøy</t>
  </si>
  <si>
    <t>Maskinsjef (M4) Prinsesse I. Alexsandra</t>
  </si>
  <si>
    <t>Skipsfører Hans Brattström (1)</t>
  </si>
  <si>
    <t>Matros/motormann uten fagbrev</t>
  </si>
  <si>
    <t xml:space="preserve">Matros/motormann med fagbrev </t>
  </si>
  <si>
    <t>Forpleningsassistent uten fagbrev</t>
  </si>
  <si>
    <t>Delta</t>
  </si>
  <si>
    <t>Felles for trinn 2-3-4-6   -  fastlønn</t>
  </si>
  <si>
    <t>Motormann GMD, HB og PIA</t>
  </si>
  <si>
    <t>Matros/Motormann på HB tilkommer ekstra kostgodgjørelse</t>
  </si>
  <si>
    <t>1. Ekstra kostgodtgjørelse inkludert i fastlønn.</t>
  </si>
  <si>
    <t xml:space="preserve">For personell som ikke er på fastlønn gjelder følgende for utregning av grunnhyre og overtid: </t>
  </si>
  <si>
    <t xml:space="preserve">For personell på fastlønn gjelder følgende for utregning av grunnhyre: </t>
  </si>
  <si>
    <t>Grunnhyren = Fastlønn/2,15</t>
  </si>
  <si>
    <t>§ 6.2 Arbeid på hjemreisedag</t>
  </si>
  <si>
    <t xml:space="preserve">§ 5.3 Farledsbevis utsjekk tillegg </t>
  </si>
  <si>
    <t>§ 8.1 Pålagt kurs i friperioden</t>
  </si>
  <si>
    <t>Kr. pr. time vakt</t>
  </si>
  <si>
    <t>ØKNING i kr</t>
  </si>
  <si>
    <t xml:space="preserve">Trinn 2 - "Johan Hjort" </t>
  </si>
  <si>
    <t>Månedslønn (eks kostpenger og 4.5%)</t>
  </si>
  <si>
    <t>Skipsfører G.M. Dannevig</t>
  </si>
  <si>
    <t>Skipsfører Prinsesse I. Alexsandra</t>
  </si>
  <si>
    <t>Maskinsjef (M4) G.M. Dannevig</t>
  </si>
  <si>
    <t>Dato</t>
  </si>
  <si>
    <t>Endring</t>
  </si>
  <si>
    <t>Oversikt over endringer i formler i hyretabellen</t>
  </si>
  <si>
    <t>3, 5 og 8 år</t>
  </si>
  <si>
    <t>5, 8 og 10 år</t>
  </si>
  <si>
    <t>5 og 8 år</t>
  </si>
  <si>
    <t>Kokk</t>
  </si>
  <si>
    <t>Kokekyndig lettmatros PIA og GMD</t>
  </si>
  <si>
    <t>3, 5, 8 og 10 år</t>
  </si>
  <si>
    <t>TARIFF PÅ HAVFORSKNINGSFARTØYENE GJELDENDE FRA 01.05.24</t>
  </si>
  <si>
    <t xml:space="preserve">Trinn 3 - "G.O. Sars" - "Dr. Fridtjof Nansen" - "Johan Hjort" - "Hydrograf" </t>
  </si>
  <si>
    <t>Røde tall i skjulte kolonner er lønnstall overført fra 2024</t>
  </si>
  <si>
    <t>FORHANDLINGSRESULTAT 01.05.24</t>
  </si>
  <si>
    <t>Gjeldene fra  01.05.2024 HI til 30.04.2025</t>
  </si>
  <si>
    <t>27000</t>
  </si>
  <si>
    <t>Lagt til under §6.2 betalt hjemreisedag for hjemkomst etter kl 16</t>
  </si>
  <si>
    <t>3,5 prosent for lønn over kr 771.432 (pr mnd 64.286))</t>
  </si>
  <si>
    <t>Endring §8.1 - Kursdag godtgjøres med 2/30 månedslønn pr dag</t>
  </si>
  <si>
    <t>Endring §8-2 - E-læringskurs godtgjøres med 2/30 månedslønn pr dag</t>
  </si>
  <si>
    <t>Endring §5.7 Tillegget gis til alle stillinger bortsett fra trålbas, nettmann og matros</t>
  </si>
  <si>
    <t>Tillegg; Forpleiningssjefer med fagskole og forpleiningsleder i maritim sektor får kompetanse tillegg kr 1500 pr mnd. Protokoll av 25.01.2025</t>
  </si>
  <si>
    <t>Komptansetillegg for å inneha sikkerhetsklarering Hemmelig gir kr 400,- pr mnd. Protokoll av 18.02.2025</t>
  </si>
  <si>
    <t>Farledsbevis iht. krav matrise</t>
  </si>
  <si>
    <t>Maskinsjef tillegg for PMS notasjon</t>
  </si>
  <si>
    <t>Adm. tillegg kokekyndig lettmatros på PIA og GMD</t>
  </si>
  <si>
    <t>Tillegg for sikkerhetsklarering Hemmelig</t>
  </si>
  <si>
    <t>Tillegg for fagskole/maritim høyskole for forpleiningssjefer</t>
  </si>
  <si>
    <t xml:space="preserve">Trinn 6 - "Hydrograf" </t>
  </si>
  <si>
    <t>Månedslønn (2)</t>
  </si>
  <si>
    <t xml:space="preserve">Arbeidsleder Hydrograf </t>
  </si>
  <si>
    <t>§ 6.2 Hjemreisedag utenfor Nord-europeisk farvann og senere enn kl 16</t>
  </si>
  <si>
    <t xml:space="preserve"> ISPS vakt i belastede havner, ref protokoll av 03.02.2025,  satt tak på maks 25 timer pr person pr havneopphold</t>
  </si>
  <si>
    <t>Tillegg alle - prosenttillegg 3,96 %</t>
  </si>
  <si>
    <t xml:space="preserve">2. Protokoll av 25.01.2025-  punkt 3,  Ansatte i i stilling som skipfører og maskinsjef på Hydrograf beholder sin lønn til de bli tatt igjen av hyretabellen. </t>
  </si>
  <si>
    <t>Ref. protokoll av 08.10.24,  utregning av timelønn for de på fastlønn er fast månedslønn x 12/1950.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</si>
</sst>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/\ mmm\.\ yyyy"/>
    <numFmt numFmtId="165" formatCode="_-* #,##0_-;\-* #,##0_-;_-* &quot;-&quot;??_-;_-@_-"/>
    <numFmt numFmtId="166" formatCode="0.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9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4"/>
      <color rgb="FFFF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rgb="FFFF0000"/>
      <name val="Arial"/>
      <family val="2"/>
    </font>
    <font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5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/>
    <xf numFmtId="0" fontId="9" fillId="2" borderId="0" xfId="0" applyFont="1" applyFill="1"/>
    <xf numFmtId="3" fontId="7" fillId="2" borderId="0" xfId="0" applyNumberFormat="1" applyFont="1" applyFill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0" fontId="12" fillId="2" borderId="0" xfId="0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2" borderId="0" xfId="0" applyFont="1" applyFill="1"/>
    <xf numFmtId="3" fontId="1" fillId="3" borderId="4" xfId="0" applyNumberFormat="1" applyFont="1" applyFill="1" applyBorder="1" applyAlignment="1">
      <alignment horizontal="center"/>
    </xf>
    <xf numFmtId="3" fontId="15" fillId="3" borderId="4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3" fontId="7" fillId="2" borderId="0" xfId="0" quotePrefix="1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3" fontId="3" fillId="5" borderId="3" xfId="0" applyNumberFormat="1" applyFont="1" applyFill="1" applyBorder="1" applyAlignment="1">
      <alignment horizontal="center"/>
    </xf>
    <xf numFmtId="3" fontId="13" fillId="5" borderId="3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0" fontId="6" fillId="4" borderId="5" xfId="0" applyFont="1" applyFill="1" applyBorder="1"/>
    <xf numFmtId="3" fontId="6" fillId="4" borderId="6" xfId="0" applyNumberFormat="1" applyFont="1" applyFill="1" applyBorder="1" applyAlignment="1">
      <alignment horizontal="center"/>
    </xf>
    <xf numFmtId="3" fontId="14" fillId="4" borderId="6" xfId="0" applyNumberFormat="1" applyFont="1" applyFill="1" applyBorder="1" applyAlignment="1">
      <alignment horizontal="center"/>
    </xf>
    <xf numFmtId="0" fontId="0" fillId="2" borderId="0" xfId="0" applyFill="1"/>
    <xf numFmtId="164" fontId="2" fillId="2" borderId="0" xfId="0" applyNumberFormat="1" applyFont="1" applyFill="1"/>
    <xf numFmtId="0" fontId="10" fillId="2" borderId="0" xfId="0" applyFont="1" applyFill="1"/>
    <xf numFmtId="0" fontId="20" fillId="2" borderId="0" xfId="0" applyFon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14" fillId="4" borderId="7" xfId="0" applyNumberFormat="1" applyFont="1" applyFill="1" applyBorder="1" applyAlignment="1">
      <alignment horizontal="center"/>
    </xf>
    <xf numFmtId="4" fontId="23" fillId="2" borderId="0" xfId="0" applyNumberFormat="1" applyFont="1" applyFill="1" applyAlignment="1">
      <alignment horizontal="center"/>
    </xf>
    <xf numFmtId="0" fontId="6" fillId="4" borderId="11" xfId="0" applyFont="1" applyFill="1" applyBorder="1"/>
    <xf numFmtId="3" fontId="6" fillId="4" borderId="12" xfId="0" applyNumberFormat="1" applyFont="1" applyFill="1" applyBorder="1" applyAlignment="1">
      <alignment horizontal="center"/>
    </xf>
    <xf numFmtId="3" fontId="14" fillId="4" borderId="13" xfId="0" applyNumberFormat="1" applyFont="1" applyFill="1" applyBorder="1" applyAlignment="1">
      <alignment horizontal="center"/>
    </xf>
    <xf numFmtId="1" fontId="6" fillId="4" borderId="6" xfId="0" applyNumberFormat="1" applyFont="1" applyFill="1" applyBorder="1" applyAlignment="1">
      <alignment horizontal="center"/>
    </xf>
    <xf numFmtId="1" fontId="14" fillId="4" borderId="6" xfId="0" applyNumberFormat="1" applyFont="1" applyFill="1" applyBorder="1" applyAlignment="1">
      <alignment horizontal="center"/>
    </xf>
    <xf numFmtId="1" fontId="14" fillId="4" borderId="7" xfId="0" applyNumberFormat="1" applyFont="1" applyFill="1" applyBorder="1" applyAlignment="1">
      <alignment horizontal="center"/>
    </xf>
    <xf numFmtId="3" fontId="14" fillId="4" borderId="12" xfId="0" applyNumberFormat="1" applyFont="1" applyFill="1" applyBorder="1" applyAlignment="1">
      <alignment horizontal="center"/>
    </xf>
    <xf numFmtId="165" fontId="14" fillId="4" borderId="12" xfId="1" applyNumberFormat="1" applyFont="1" applyFill="1" applyBorder="1" applyAlignment="1">
      <alignment horizontal="center"/>
    </xf>
    <xf numFmtId="165" fontId="0" fillId="2" borderId="0" xfId="1" applyNumberFormat="1" applyFont="1" applyFill="1"/>
    <xf numFmtId="1" fontId="7" fillId="2" borderId="0" xfId="0" applyNumberFormat="1" applyFont="1" applyFill="1" applyAlignment="1">
      <alignment horizontal="center"/>
    </xf>
    <xf numFmtId="0" fontId="7" fillId="0" borderId="0" xfId="0" applyFont="1"/>
    <xf numFmtId="0" fontId="7" fillId="0" borderId="12" xfId="0" applyFont="1" applyBorder="1"/>
    <xf numFmtId="3" fontId="7" fillId="2" borderId="8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2" fontId="7" fillId="2" borderId="0" xfId="0" applyNumberFormat="1" applyFont="1" applyFill="1"/>
    <xf numFmtId="3" fontId="19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0" fontId="5" fillId="2" borderId="6" xfId="0" applyFont="1" applyFill="1" applyBorder="1"/>
    <xf numFmtId="0" fontId="18" fillId="2" borderId="0" xfId="0" applyFont="1" applyFill="1"/>
    <xf numFmtId="3" fontId="6" fillId="2" borderId="6" xfId="0" applyNumberFormat="1" applyFont="1" applyFill="1" applyBorder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6" fillId="4" borderId="16" xfId="0" applyFont="1" applyFill="1" applyBorder="1"/>
    <xf numFmtId="165" fontId="14" fillId="2" borderId="6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165" fontId="14" fillId="4" borderId="6" xfId="1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3" fillId="5" borderId="2" xfId="0" applyFon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2" fontId="24" fillId="2" borderId="0" xfId="0" applyNumberFormat="1" applyFont="1" applyFill="1" applyAlignment="1">
      <alignment horizontal="left"/>
    </xf>
    <xf numFmtId="0" fontId="17" fillId="2" borderId="0" xfId="0" applyFont="1" applyFill="1"/>
    <xf numFmtId="0" fontId="0" fillId="0" borderId="12" xfId="0" applyBorder="1"/>
    <xf numFmtId="1" fontId="0" fillId="0" borderId="0" xfId="0" applyNumberFormat="1"/>
    <xf numFmtId="3" fontId="0" fillId="3" borderId="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0" fillId="0" borderId="8" xfId="0" applyNumberFormat="1" applyBorder="1" applyAlignment="1">
      <alignment horizontal="center"/>
    </xf>
    <xf numFmtId="166" fontId="24" fillId="2" borderId="8" xfId="0" applyNumberFormat="1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0" fillId="2" borderId="0" xfId="0" quotePrefix="1" applyNumberFormat="1" applyFill="1" applyAlignment="1">
      <alignment horizontal="center"/>
    </xf>
    <xf numFmtId="0" fontId="15" fillId="0" borderId="0" xfId="0" applyFont="1" applyAlignment="1">
      <alignment horizontal="left"/>
    </xf>
    <xf numFmtId="3" fontId="25" fillId="0" borderId="0" xfId="0" applyNumberFormat="1" applyFont="1" applyAlignment="1">
      <alignment horizontal="center"/>
    </xf>
    <xf numFmtId="3" fontId="25" fillId="0" borderId="0" xfId="0" applyNumberFormat="1" applyFont="1"/>
    <xf numFmtId="0" fontId="25" fillId="0" borderId="0" xfId="0" applyFont="1"/>
    <xf numFmtId="0" fontId="15" fillId="0" borderId="0" xfId="0" applyFont="1"/>
    <xf numFmtId="0" fontId="15" fillId="2" borderId="0" xfId="0" applyFont="1" applyFill="1"/>
    <xf numFmtId="0" fontId="27" fillId="2" borderId="0" xfId="0" applyFont="1" applyFill="1"/>
    <xf numFmtId="0" fontId="5" fillId="2" borderId="12" xfId="0" applyFont="1" applyFill="1" applyBorder="1"/>
    <xf numFmtId="0" fontId="5" fillId="2" borderId="15" xfId="0" applyFont="1" applyFill="1" applyBorder="1"/>
    <xf numFmtId="0" fontId="6" fillId="4" borderId="6" xfId="0" applyFont="1" applyFill="1" applyBorder="1"/>
    <xf numFmtId="3" fontId="0" fillId="0" borderId="0" xfId="0" applyNumberFormat="1"/>
    <xf numFmtId="3" fontId="14" fillId="4" borderId="6" xfId="0" applyNumberFormat="1" applyFont="1" applyFill="1" applyBorder="1" applyAlignment="1">
      <alignment horizontal="left"/>
    </xf>
    <xf numFmtId="3" fontId="14" fillId="4" borderId="7" xfId="0" applyNumberFormat="1" applyFont="1" applyFill="1" applyBorder="1" applyAlignment="1">
      <alignment horizontal="left"/>
    </xf>
    <xf numFmtId="3" fontId="7" fillId="2" borderId="0" xfId="0" applyNumberFormat="1" applyFont="1" applyFill="1" applyAlignment="1">
      <alignment horizontal="left"/>
    </xf>
    <xf numFmtId="3" fontId="7" fillId="0" borderId="0" xfId="0" applyNumberFormat="1" applyFont="1" applyAlignment="1">
      <alignment horizontal="left"/>
    </xf>
    <xf numFmtId="0" fontId="14" fillId="4" borderId="6" xfId="0" applyFont="1" applyFill="1" applyBorder="1" applyAlignment="1">
      <alignment horizontal="left"/>
    </xf>
    <xf numFmtId="3" fontId="7" fillId="2" borderId="15" xfId="0" applyNumberFormat="1" applyFont="1" applyFill="1" applyBorder="1" applyAlignment="1">
      <alignment horizontal="left"/>
    </xf>
    <xf numFmtId="3" fontId="7" fillId="2" borderId="6" xfId="0" applyNumberFormat="1" applyFont="1" applyFill="1" applyBorder="1" applyAlignment="1">
      <alignment horizontal="left"/>
    </xf>
    <xf numFmtId="1" fontId="14" fillId="4" borderId="6" xfId="0" applyNumberFormat="1" applyFont="1" applyFill="1" applyBorder="1" applyAlignment="1">
      <alignment horizontal="left"/>
    </xf>
    <xf numFmtId="3" fontId="14" fillId="4" borderId="12" xfId="0" applyNumberFormat="1" applyFont="1" applyFill="1" applyBorder="1" applyAlignment="1">
      <alignment horizontal="left"/>
    </xf>
    <xf numFmtId="3" fontId="13" fillId="5" borderId="3" xfId="0" applyNumberFormat="1" applyFont="1" applyFill="1" applyBorder="1" applyAlignment="1">
      <alignment horizontal="left"/>
    </xf>
    <xf numFmtId="3" fontId="0" fillId="2" borderId="0" xfId="0" applyNumberFormat="1" applyFill="1" applyAlignment="1">
      <alignment horizontal="left"/>
    </xf>
    <xf numFmtId="3" fontId="1" fillId="3" borderId="4" xfId="0" applyNumberFormat="1" applyFont="1" applyFill="1" applyBorder="1" applyAlignment="1">
      <alignment horizontal="left"/>
    </xf>
    <xf numFmtId="3" fontId="19" fillId="2" borderId="0" xfId="0" applyNumberFormat="1" applyFont="1" applyFill="1" applyAlignment="1">
      <alignment horizontal="left"/>
    </xf>
    <xf numFmtId="4" fontId="11" fillId="2" borderId="0" xfId="0" applyNumberFormat="1" applyFont="1" applyFill="1" applyAlignment="1">
      <alignment horizontal="left"/>
    </xf>
    <xf numFmtId="3" fontId="7" fillId="3" borderId="4" xfId="0" applyNumberFormat="1" applyFont="1" applyFill="1" applyBorder="1" applyAlignment="1">
      <alignment horizontal="left"/>
    </xf>
    <xf numFmtId="3" fontId="7" fillId="2" borderId="0" xfId="0" quotePrefix="1" applyNumberFormat="1" applyFont="1" applyFill="1" applyAlignment="1">
      <alignment horizontal="left"/>
    </xf>
    <xf numFmtId="3" fontId="15" fillId="3" borderId="4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3" fontId="25" fillId="0" borderId="0" xfId="0" applyNumberFormat="1" applyFont="1" applyAlignment="1">
      <alignment horizontal="left"/>
    </xf>
    <xf numFmtId="3" fontId="6" fillId="4" borderId="6" xfId="0" applyNumberFormat="1" applyFont="1" applyFill="1" applyBorder="1" applyAlignment="1">
      <alignment horizontal="left"/>
    </xf>
    <xf numFmtId="3" fontId="16" fillId="2" borderId="0" xfId="0" quotePrefix="1" applyNumberFormat="1" applyFont="1" applyFill="1" applyAlignment="1">
      <alignment horizontal="center"/>
    </xf>
    <xf numFmtId="3" fontId="16" fillId="2" borderId="0" xfId="0" applyNumberFormat="1" applyFont="1" applyFill="1" applyAlignment="1">
      <alignment horizontal="center"/>
    </xf>
    <xf numFmtId="0" fontId="0" fillId="0" borderId="8" xfId="0" applyBorder="1"/>
    <xf numFmtId="1" fontId="24" fillId="2" borderId="8" xfId="0" applyNumberFormat="1" applyFont="1" applyFill="1" applyBorder="1" applyAlignment="1">
      <alignment horizontal="left"/>
    </xf>
    <xf numFmtId="3" fontId="7" fillId="2" borderId="0" xfId="0" applyNumberFormat="1" applyFont="1" applyFill="1"/>
    <xf numFmtId="49" fontId="0" fillId="2" borderId="8" xfId="0" applyNumberFormat="1" applyFill="1" applyBorder="1" applyAlignment="1">
      <alignment horizontal="left"/>
    </xf>
    <xf numFmtId="3" fontId="2" fillId="2" borderId="0" xfId="0" applyNumberFormat="1" applyFont="1" applyFill="1" applyAlignment="1">
      <alignment horizontal="left"/>
    </xf>
    <xf numFmtId="3" fontId="28" fillId="2" borderId="0" xfId="0" applyNumberFormat="1" applyFont="1" applyFill="1" applyAlignment="1">
      <alignment horizontal="center"/>
    </xf>
    <xf numFmtId="3" fontId="28" fillId="2" borderId="0" xfId="0" applyNumberFormat="1" applyFont="1" applyFill="1" applyAlignment="1">
      <alignment horizontal="left"/>
    </xf>
    <xf numFmtId="0" fontId="0" fillId="6" borderId="8" xfId="0" applyFill="1" applyBorder="1"/>
    <xf numFmtId="14" fontId="0" fillId="0" borderId="8" xfId="0" applyNumberFormat="1" applyBorder="1"/>
    <xf numFmtId="0" fontId="0" fillId="2" borderId="8" xfId="0" applyFill="1" applyBorder="1" applyAlignment="1">
      <alignment horizontal="left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1" fillId="0" borderId="0" xfId="0" applyFont="1"/>
    <xf numFmtId="3" fontId="14" fillId="4" borderId="13" xfId="0" applyNumberFormat="1" applyFont="1" applyFill="1" applyBorder="1" applyAlignment="1">
      <alignment horizontal="left"/>
    </xf>
    <xf numFmtId="0" fontId="1" fillId="3" borderId="19" xfId="0" applyFont="1" applyFill="1" applyBorder="1"/>
    <xf numFmtId="3" fontId="1" fillId="3" borderId="19" xfId="0" applyNumberFormat="1" applyFont="1" applyFill="1" applyBorder="1" applyAlignment="1">
      <alignment horizontal="center"/>
    </xf>
    <xf numFmtId="3" fontId="1" fillId="3" borderId="19" xfId="0" applyNumberFormat="1" applyFont="1" applyFill="1" applyBorder="1" applyAlignment="1">
      <alignment horizontal="left"/>
    </xf>
    <xf numFmtId="0" fontId="5" fillId="2" borderId="19" xfId="0" applyFont="1" applyFill="1" applyBorder="1"/>
    <xf numFmtId="3" fontId="0" fillId="2" borderId="19" xfId="0" applyNumberFormat="1" applyFill="1" applyBorder="1" applyAlignment="1">
      <alignment horizontal="center"/>
    </xf>
    <xf numFmtId="3" fontId="7" fillId="2" borderId="19" xfId="0" applyNumberFormat="1" applyFont="1" applyFill="1" applyBorder="1" applyAlignment="1">
      <alignment horizontal="left"/>
    </xf>
    <xf numFmtId="0" fontId="28" fillId="2" borderId="0" xfId="0" applyFont="1" applyFill="1"/>
    <xf numFmtId="0" fontId="14" fillId="4" borderId="5" xfId="0" applyFont="1" applyFill="1" applyBorder="1"/>
    <xf numFmtId="0" fontId="28" fillId="2" borderId="15" xfId="0" applyFont="1" applyFill="1" applyBorder="1"/>
    <xf numFmtId="0" fontId="14" fillId="4" borderId="6" xfId="0" applyFont="1" applyFill="1" applyBorder="1"/>
    <xf numFmtId="0" fontId="28" fillId="2" borderId="12" xfId="0" applyFont="1" applyFill="1" applyBorder="1"/>
    <xf numFmtId="0" fontId="28" fillId="2" borderId="5" xfId="0" applyFont="1" applyFill="1" applyBorder="1"/>
    <xf numFmtId="0" fontId="0" fillId="2" borderId="18" xfId="0" applyFill="1" applyBorder="1" applyAlignment="1">
      <alignment horizontal="left"/>
    </xf>
    <xf numFmtId="0" fontId="0" fillId="2" borderId="0" xfId="0" applyFill="1" applyAlignment="1">
      <alignment horizontal="left"/>
    </xf>
    <xf numFmtId="49" fontId="0" fillId="2" borderId="8" xfId="0" applyNumberForma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16" fillId="2" borderId="8" xfId="0" applyFont="1" applyFill="1" applyBorder="1" applyAlignment="1">
      <alignment horizontal="left"/>
    </xf>
    <xf numFmtId="3" fontId="0" fillId="2" borderId="8" xfId="0" applyNumberFormat="1" applyFill="1" applyBorder="1" applyAlignment="1">
      <alignment horizontal="left" shrinkToFit="1"/>
    </xf>
    <xf numFmtId="0" fontId="0" fillId="0" borderId="8" xfId="0" applyBorder="1" applyAlignment="1">
      <alignment horizontal="left"/>
    </xf>
    <xf numFmtId="3" fontId="16" fillId="2" borderId="8" xfId="0" applyNumberFormat="1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/>
    </xf>
    <xf numFmtId="0" fontId="26" fillId="2" borderId="8" xfId="0" applyFont="1" applyFill="1" applyBorder="1" applyAlignment="1">
      <alignment horizontal="left"/>
    </xf>
    <xf numFmtId="0" fontId="0" fillId="0" borderId="17" xfId="0" applyBorder="1" applyAlignment="1">
      <alignment horizontal="left"/>
    </xf>
    <xf numFmtId="3" fontId="0" fillId="2" borderId="8" xfId="0" applyNumberFormat="1" applyFill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7326</xdr:rowOff>
    </xdr:from>
    <xdr:to>
      <xdr:col>5</xdr:col>
      <xdr:colOff>146538</xdr:colOff>
      <xdr:row>52</xdr:row>
      <xdr:rowOff>112568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9FCFAB0-99D8-4225-A48A-F113B704AE60}"/>
            </a:ext>
          </a:extLst>
        </xdr:cNvPr>
        <xdr:cNvSpPr txBox="1"/>
      </xdr:nvSpPr>
      <xdr:spPr>
        <a:xfrm>
          <a:off x="0" y="1956288"/>
          <a:ext cx="5898173" cy="8296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tx1"/>
              </a:solidFill>
            </a:rPr>
            <a:t>Resultatet</a:t>
          </a:r>
          <a:r>
            <a:rPr lang="nb-NO" sz="1100" baseline="0">
              <a:solidFill>
                <a:schemeClr val="tx1"/>
              </a:solidFill>
            </a:rPr>
            <a:t> fra de sentrale forhandlingene i staten er brukt som retningsgivende.</a:t>
          </a:r>
        </a:p>
        <a:p>
          <a:endParaRPr lang="nb-NO" sz="1100">
            <a:solidFill>
              <a:schemeClr val="tx1"/>
            </a:solidFill>
          </a:endParaRPr>
        </a:p>
        <a:p>
          <a:endParaRPr lang="en-US" sz="1100" b="1" strike="sng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Kr2.250,- legges på månedlønn for de som har under kr 64.286,- pr mnd.  Tillegget på 3,5 % legges på månedslønn for de som har over</a:t>
          </a:r>
          <a:r>
            <a:rPr lang="nb-NO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kr 64.286,-</a:t>
          </a:r>
          <a:r>
            <a:rPr lang="nb-NO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pr mnd. </a:t>
          </a:r>
        </a:p>
        <a:p>
          <a:r>
            <a:rPr lang="nb-NO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Det legges også 3, 96 % på alle overenskomstens kronetillegg. </a:t>
          </a:r>
          <a:endParaRPr 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Tilleggene gis med virking fra 01.05.24.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>
            <a:solidFill>
              <a:schemeClr val="tx1"/>
            </a:solidFill>
          </a:endParaRPr>
        </a:p>
        <a:p>
          <a:r>
            <a:rPr lang="nb-NO" sz="1100">
              <a:solidFill>
                <a:schemeClr val="tx1"/>
              </a:solidFill>
            </a:rPr>
            <a:t>-------------------------------------------------------------------------------------------------------------------------------</a:t>
          </a:r>
        </a:p>
        <a:p>
          <a:endParaRPr lang="nb-NO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"/>
  <sheetViews>
    <sheetView zoomScale="130" zoomScaleNormal="130" workbookViewId="0">
      <selection activeCell="H13" sqref="H13"/>
    </sheetView>
  </sheetViews>
  <sheetFormatPr baseColWidth="10" defaultColWidth="11.42578125" defaultRowHeight="15" x14ac:dyDescent="0.25"/>
  <cols>
    <col min="1" max="1" width="26.7109375" style="27" customWidth="1"/>
    <col min="2" max="2" width="13.85546875" style="27" bestFit="1" customWidth="1"/>
    <col min="3" max="3" width="14.85546875" style="27" bestFit="1" customWidth="1"/>
    <col min="4" max="4" width="20.85546875" style="27" customWidth="1"/>
    <col min="5" max="5" width="10" style="27" customWidth="1"/>
    <col min="6" max="6" width="6.5703125" style="27" customWidth="1"/>
    <col min="7" max="7" width="7.5703125" style="27" customWidth="1"/>
    <col min="8" max="256" width="11.42578125" style="27"/>
    <col min="257" max="257" width="11.5703125" style="27" customWidth="1"/>
    <col min="258" max="260" width="11.42578125" style="27"/>
    <col min="261" max="261" width="10.85546875" style="27" customWidth="1"/>
    <col min="262" max="262" width="6.5703125" style="27" customWidth="1"/>
    <col min="263" max="512" width="11.42578125" style="27"/>
    <col min="513" max="513" width="11.5703125" style="27" customWidth="1"/>
    <col min="514" max="516" width="11.42578125" style="27"/>
    <col min="517" max="517" width="10.85546875" style="27" customWidth="1"/>
    <col min="518" max="518" width="6.5703125" style="27" customWidth="1"/>
    <col min="519" max="768" width="11.42578125" style="27"/>
    <col min="769" max="769" width="11.5703125" style="27" customWidth="1"/>
    <col min="770" max="772" width="11.42578125" style="27"/>
    <col min="773" max="773" width="10.85546875" style="27" customWidth="1"/>
    <col min="774" max="774" width="6.5703125" style="27" customWidth="1"/>
    <col min="775" max="1024" width="11.42578125" style="27"/>
    <col min="1025" max="1025" width="11.5703125" style="27" customWidth="1"/>
    <col min="1026" max="1028" width="11.42578125" style="27"/>
    <col min="1029" max="1029" width="10.85546875" style="27" customWidth="1"/>
    <col min="1030" max="1030" width="6.5703125" style="27" customWidth="1"/>
    <col min="1031" max="1280" width="11.42578125" style="27"/>
    <col min="1281" max="1281" width="11.5703125" style="27" customWidth="1"/>
    <col min="1282" max="1284" width="11.42578125" style="27"/>
    <col min="1285" max="1285" width="10.85546875" style="27" customWidth="1"/>
    <col min="1286" max="1286" width="6.5703125" style="27" customWidth="1"/>
    <col min="1287" max="1536" width="11.42578125" style="27"/>
    <col min="1537" max="1537" width="11.5703125" style="27" customWidth="1"/>
    <col min="1538" max="1540" width="11.42578125" style="27"/>
    <col min="1541" max="1541" width="10.85546875" style="27" customWidth="1"/>
    <col min="1542" max="1542" width="6.5703125" style="27" customWidth="1"/>
    <col min="1543" max="1792" width="11.42578125" style="27"/>
    <col min="1793" max="1793" width="11.5703125" style="27" customWidth="1"/>
    <col min="1794" max="1796" width="11.42578125" style="27"/>
    <col min="1797" max="1797" width="10.85546875" style="27" customWidth="1"/>
    <col min="1798" max="1798" width="6.5703125" style="27" customWidth="1"/>
    <col min="1799" max="2048" width="11.42578125" style="27"/>
    <col min="2049" max="2049" width="11.5703125" style="27" customWidth="1"/>
    <col min="2050" max="2052" width="11.42578125" style="27"/>
    <col min="2053" max="2053" width="10.85546875" style="27" customWidth="1"/>
    <col min="2054" max="2054" width="6.5703125" style="27" customWidth="1"/>
    <col min="2055" max="2304" width="11.42578125" style="27"/>
    <col min="2305" max="2305" width="11.5703125" style="27" customWidth="1"/>
    <col min="2306" max="2308" width="11.42578125" style="27"/>
    <col min="2309" max="2309" width="10.85546875" style="27" customWidth="1"/>
    <col min="2310" max="2310" width="6.5703125" style="27" customWidth="1"/>
    <col min="2311" max="2560" width="11.42578125" style="27"/>
    <col min="2561" max="2561" width="11.5703125" style="27" customWidth="1"/>
    <col min="2562" max="2564" width="11.42578125" style="27"/>
    <col min="2565" max="2565" width="10.85546875" style="27" customWidth="1"/>
    <col min="2566" max="2566" width="6.5703125" style="27" customWidth="1"/>
    <col min="2567" max="2816" width="11.42578125" style="27"/>
    <col min="2817" max="2817" width="11.5703125" style="27" customWidth="1"/>
    <col min="2818" max="2820" width="11.42578125" style="27"/>
    <col min="2821" max="2821" width="10.85546875" style="27" customWidth="1"/>
    <col min="2822" max="2822" width="6.5703125" style="27" customWidth="1"/>
    <col min="2823" max="3072" width="11.42578125" style="27"/>
    <col min="3073" max="3073" width="11.5703125" style="27" customWidth="1"/>
    <col min="3074" max="3076" width="11.42578125" style="27"/>
    <col min="3077" max="3077" width="10.85546875" style="27" customWidth="1"/>
    <col min="3078" max="3078" width="6.5703125" style="27" customWidth="1"/>
    <col min="3079" max="3328" width="11.42578125" style="27"/>
    <col min="3329" max="3329" width="11.5703125" style="27" customWidth="1"/>
    <col min="3330" max="3332" width="11.42578125" style="27"/>
    <col min="3333" max="3333" width="10.85546875" style="27" customWidth="1"/>
    <col min="3334" max="3334" width="6.5703125" style="27" customWidth="1"/>
    <col min="3335" max="3584" width="11.42578125" style="27"/>
    <col min="3585" max="3585" width="11.5703125" style="27" customWidth="1"/>
    <col min="3586" max="3588" width="11.42578125" style="27"/>
    <col min="3589" max="3589" width="10.85546875" style="27" customWidth="1"/>
    <col min="3590" max="3590" width="6.5703125" style="27" customWidth="1"/>
    <col min="3591" max="3840" width="11.42578125" style="27"/>
    <col min="3841" max="3841" width="11.5703125" style="27" customWidth="1"/>
    <col min="3842" max="3844" width="11.42578125" style="27"/>
    <col min="3845" max="3845" width="10.85546875" style="27" customWidth="1"/>
    <col min="3846" max="3846" width="6.5703125" style="27" customWidth="1"/>
    <col min="3847" max="4096" width="11.42578125" style="27"/>
    <col min="4097" max="4097" width="11.5703125" style="27" customWidth="1"/>
    <col min="4098" max="4100" width="11.42578125" style="27"/>
    <col min="4101" max="4101" width="10.85546875" style="27" customWidth="1"/>
    <col min="4102" max="4102" width="6.5703125" style="27" customWidth="1"/>
    <col min="4103" max="4352" width="11.42578125" style="27"/>
    <col min="4353" max="4353" width="11.5703125" style="27" customWidth="1"/>
    <col min="4354" max="4356" width="11.42578125" style="27"/>
    <col min="4357" max="4357" width="10.85546875" style="27" customWidth="1"/>
    <col min="4358" max="4358" width="6.5703125" style="27" customWidth="1"/>
    <col min="4359" max="4608" width="11.42578125" style="27"/>
    <col min="4609" max="4609" width="11.5703125" style="27" customWidth="1"/>
    <col min="4610" max="4612" width="11.42578125" style="27"/>
    <col min="4613" max="4613" width="10.85546875" style="27" customWidth="1"/>
    <col min="4614" max="4614" width="6.5703125" style="27" customWidth="1"/>
    <col min="4615" max="4864" width="11.42578125" style="27"/>
    <col min="4865" max="4865" width="11.5703125" style="27" customWidth="1"/>
    <col min="4866" max="4868" width="11.42578125" style="27"/>
    <col min="4869" max="4869" width="10.85546875" style="27" customWidth="1"/>
    <col min="4870" max="4870" width="6.5703125" style="27" customWidth="1"/>
    <col min="4871" max="5120" width="11.42578125" style="27"/>
    <col min="5121" max="5121" width="11.5703125" style="27" customWidth="1"/>
    <col min="5122" max="5124" width="11.42578125" style="27"/>
    <col min="5125" max="5125" width="10.85546875" style="27" customWidth="1"/>
    <col min="5126" max="5126" width="6.5703125" style="27" customWidth="1"/>
    <col min="5127" max="5376" width="11.42578125" style="27"/>
    <col min="5377" max="5377" width="11.5703125" style="27" customWidth="1"/>
    <col min="5378" max="5380" width="11.42578125" style="27"/>
    <col min="5381" max="5381" width="10.85546875" style="27" customWidth="1"/>
    <col min="5382" max="5382" width="6.5703125" style="27" customWidth="1"/>
    <col min="5383" max="5632" width="11.42578125" style="27"/>
    <col min="5633" max="5633" width="11.5703125" style="27" customWidth="1"/>
    <col min="5634" max="5636" width="11.42578125" style="27"/>
    <col min="5637" max="5637" width="10.85546875" style="27" customWidth="1"/>
    <col min="5638" max="5638" width="6.5703125" style="27" customWidth="1"/>
    <col min="5639" max="5888" width="11.42578125" style="27"/>
    <col min="5889" max="5889" width="11.5703125" style="27" customWidth="1"/>
    <col min="5890" max="5892" width="11.42578125" style="27"/>
    <col min="5893" max="5893" width="10.85546875" style="27" customWidth="1"/>
    <col min="5894" max="5894" width="6.5703125" style="27" customWidth="1"/>
    <col min="5895" max="6144" width="11.42578125" style="27"/>
    <col min="6145" max="6145" width="11.5703125" style="27" customWidth="1"/>
    <col min="6146" max="6148" width="11.42578125" style="27"/>
    <col min="6149" max="6149" width="10.85546875" style="27" customWidth="1"/>
    <col min="6150" max="6150" width="6.5703125" style="27" customWidth="1"/>
    <col min="6151" max="6400" width="11.42578125" style="27"/>
    <col min="6401" max="6401" width="11.5703125" style="27" customWidth="1"/>
    <col min="6402" max="6404" width="11.42578125" style="27"/>
    <col min="6405" max="6405" width="10.85546875" style="27" customWidth="1"/>
    <col min="6406" max="6406" width="6.5703125" style="27" customWidth="1"/>
    <col min="6407" max="6656" width="11.42578125" style="27"/>
    <col min="6657" max="6657" width="11.5703125" style="27" customWidth="1"/>
    <col min="6658" max="6660" width="11.42578125" style="27"/>
    <col min="6661" max="6661" width="10.85546875" style="27" customWidth="1"/>
    <col min="6662" max="6662" width="6.5703125" style="27" customWidth="1"/>
    <col min="6663" max="6912" width="11.42578125" style="27"/>
    <col min="6913" max="6913" width="11.5703125" style="27" customWidth="1"/>
    <col min="6914" max="6916" width="11.42578125" style="27"/>
    <col min="6917" max="6917" width="10.85546875" style="27" customWidth="1"/>
    <col min="6918" max="6918" width="6.5703125" style="27" customWidth="1"/>
    <col min="6919" max="7168" width="11.42578125" style="27"/>
    <col min="7169" max="7169" width="11.5703125" style="27" customWidth="1"/>
    <col min="7170" max="7172" width="11.42578125" style="27"/>
    <col min="7173" max="7173" width="10.85546875" style="27" customWidth="1"/>
    <col min="7174" max="7174" width="6.5703125" style="27" customWidth="1"/>
    <col min="7175" max="7424" width="11.42578125" style="27"/>
    <col min="7425" max="7425" width="11.5703125" style="27" customWidth="1"/>
    <col min="7426" max="7428" width="11.42578125" style="27"/>
    <col min="7429" max="7429" width="10.85546875" style="27" customWidth="1"/>
    <col min="7430" max="7430" width="6.5703125" style="27" customWidth="1"/>
    <col min="7431" max="7680" width="11.42578125" style="27"/>
    <col min="7681" max="7681" width="11.5703125" style="27" customWidth="1"/>
    <col min="7682" max="7684" width="11.42578125" style="27"/>
    <col min="7685" max="7685" width="10.85546875" style="27" customWidth="1"/>
    <col min="7686" max="7686" width="6.5703125" style="27" customWidth="1"/>
    <col min="7687" max="7936" width="11.42578125" style="27"/>
    <col min="7937" max="7937" width="11.5703125" style="27" customWidth="1"/>
    <col min="7938" max="7940" width="11.42578125" style="27"/>
    <col min="7941" max="7941" width="10.85546875" style="27" customWidth="1"/>
    <col min="7942" max="7942" width="6.5703125" style="27" customWidth="1"/>
    <col min="7943" max="8192" width="11.42578125" style="27"/>
    <col min="8193" max="8193" width="11.5703125" style="27" customWidth="1"/>
    <col min="8194" max="8196" width="11.42578125" style="27"/>
    <col min="8197" max="8197" width="10.85546875" style="27" customWidth="1"/>
    <col min="8198" max="8198" width="6.5703125" style="27" customWidth="1"/>
    <col min="8199" max="8448" width="11.42578125" style="27"/>
    <col min="8449" max="8449" width="11.5703125" style="27" customWidth="1"/>
    <col min="8450" max="8452" width="11.42578125" style="27"/>
    <col min="8453" max="8453" width="10.85546875" style="27" customWidth="1"/>
    <col min="8454" max="8454" width="6.5703125" style="27" customWidth="1"/>
    <col min="8455" max="8704" width="11.42578125" style="27"/>
    <col min="8705" max="8705" width="11.5703125" style="27" customWidth="1"/>
    <col min="8706" max="8708" width="11.42578125" style="27"/>
    <col min="8709" max="8709" width="10.85546875" style="27" customWidth="1"/>
    <col min="8710" max="8710" width="6.5703125" style="27" customWidth="1"/>
    <col min="8711" max="8960" width="11.42578125" style="27"/>
    <col min="8961" max="8961" width="11.5703125" style="27" customWidth="1"/>
    <col min="8962" max="8964" width="11.42578125" style="27"/>
    <col min="8965" max="8965" width="10.85546875" style="27" customWidth="1"/>
    <col min="8966" max="8966" width="6.5703125" style="27" customWidth="1"/>
    <col min="8967" max="9216" width="11.42578125" style="27"/>
    <col min="9217" max="9217" width="11.5703125" style="27" customWidth="1"/>
    <col min="9218" max="9220" width="11.42578125" style="27"/>
    <col min="9221" max="9221" width="10.85546875" style="27" customWidth="1"/>
    <col min="9222" max="9222" width="6.5703125" style="27" customWidth="1"/>
    <col min="9223" max="9472" width="11.42578125" style="27"/>
    <col min="9473" max="9473" width="11.5703125" style="27" customWidth="1"/>
    <col min="9474" max="9476" width="11.42578125" style="27"/>
    <col min="9477" max="9477" width="10.85546875" style="27" customWidth="1"/>
    <col min="9478" max="9478" width="6.5703125" style="27" customWidth="1"/>
    <col min="9479" max="9728" width="11.42578125" style="27"/>
    <col min="9729" max="9729" width="11.5703125" style="27" customWidth="1"/>
    <col min="9730" max="9732" width="11.42578125" style="27"/>
    <col min="9733" max="9733" width="10.85546875" style="27" customWidth="1"/>
    <col min="9734" max="9734" width="6.5703125" style="27" customWidth="1"/>
    <col min="9735" max="9984" width="11.42578125" style="27"/>
    <col min="9985" max="9985" width="11.5703125" style="27" customWidth="1"/>
    <col min="9986" max="9988" width="11.42578125" style="27"/>
    <col min="9989" max="9989" width="10.85546875" style="27" customWidth="1"/>
    <col min="9990" max="9990" width="6.5703125" style="27" customWidth="1"/>
    <col min="9991" max="10240" width="11.42578125" style="27"/>
    <col min="10241" max="10241" width="11.5703125" style="27" customWidth="1"/>
    <col min="10242" max="10244" width="11.42578125" style="27"/>
    <col min="10245" max="10245" width="10.85546875" style="27" customWidth="1"/>
    <col min="10246" max="10246" width="6.5703125" style="27" customWidth="1"/>
    <col min="10247" max="10496" width="11.42578125" style="27"/>
    <col min="10497" max="10497" width="11.5703125" style="27" customWidth="1"/>
    <col min="10498" max="10500" width="11.42578125" style="27"/>
    <col min="10501" max="10501" width="10.85546875" style="27" customWidth="1"/>
    <col min="10502" max="10502" width="6.5703125" style="27" customWidth="1"/>
    <col min="10503" max="10752" width="11.42578125" style="27"/>
    <col min="10753" max="10753" width="11.5703125" style="27" customWidth="1"/>
    <col min="10754" max="10756" width="11.42578125" style="27"/>
    <col min="10757" max="10757" width="10.85546875" style="27" customWidth="1"/>
    <col min="10758" max="10758" width="6.5703125" style="27" customWidth="1"/>
    <col min="10759" max="11008" width="11.42578125" style="27"/>
    <col min="11009" max="11009" width="11.5703125" style="27" customWidth="1"/>
    <col min="11010" max="11012" width="11.42578125" style="27"/>
    <col min="11013" max="11013" width="10.85546875" style="27" customWidth="1"/>
    <col min="11014" max="11014" width="6.5703125" style="27" customWidth="1"/>
    <col min="11015" max="11264" width="11.42578125" style="27"/>
    <col min="11265" max="11265" width="11.5703125" style="27" customWidth="1"/>
    <col min="11266" max="11268" width="11.42578125" style="27"/>
    <col min="11269" max="11269" width="10.85546875" style="27" customWidth="1"/>
    <col min="11270" max="11270" width="6.5703125" style="27" customWidth="1"/>
    <col min="11271" max="11520" width="11.42578125" style="27"/>
    <col min="11521" max="11521" width="11.5703125" style="27" customWidth="1"/>
    <col min="11522" max="11524" width="11.42578125" style="27"/>
    <col min="11525" max="11525" width="10.85546875" style="27" customWidth="1"/>
    <col min="11526" max="11526" width="6.5703125" style="27" customWidth="1"/>
    <col min="11527" max="11776" width="11.42578125" style="27"/>
    <col min="11777" max="11777" width="11.5703125" style="27" customWidth="1"/>
    <col min="11778" max="11780" width="11.42578125" style="27"/>
    <col min="11781" max="11781" width="10.85546875" style="27" customWidth="1"/>
    <col min="11782" max="11782" width="6.5703125" style="27" customWidth="1"/>
    <col min="11783" max="12032" width="11.42578125" style="27"/>
    <col min="12033" max="12033" width="11.5703125" style="27" customWidth="1"/>
    <col min="12034" max="12036" width="11.42578125" style="27"/>
    <col min="12037" max="12037" width="10.85546875" style="27" customWidth="1"/>
    <col min="12038" max="12038" width="6.5703125" style="27" customWidth="1"/>
    <col min="12039" max="12288" width="11.42578125" style="27"/>
    <col min="12289" max="12289" width="11.5703125" style="27" customWidth="1"/>
    <col min="12290" max="12292" width="11.42578125" style="27"/>
    <col min="12293" max="12293" width="10.85546875" style="27" customWidth="1"/>
    <col min="12294" max="12294" width="6.5703125" style="27" customWidth="1"/>
    <col min="12295" max="12544" width="11.42578125" style="27"/>
    <col min="12545" max="12545" width="11.5703125" style="27" customWidth="1"/>
    <col min="12546" max="12548" width="11.42578125" style="27"/>
    <col min="12549" max="12549" width="10.85546875" style="27" customWidth="1"/>
    <col min="12550" max="12550" width="6.5703125" style="27" customWidth="1"/>
    <col min="12551" max="12800" width="11.42578125" style="27"/>
    <col min="12801" max="12801" width="11.5703125" style="27" customWidth="1"/>
    <col min="12802" max="12804" width="11.42578125" style="27"/>
    <col min="12805" max="12805" width="10.85546875" style="27" customWidth="1"/>
    <col min="12806" max="12806" width="6.5703125" style="27" customWidth="1"/>
    <col min="12807" max="13056" width="11.42578125" style="27"/>
    <col min="13057" max="13057" width="11.5703125" style="27" customWidth="1"/>
    <col min="13058" max="13060" width="11.42578125" style="27"/>
    <col min="13061" max="13061" width="10.85546875" style="27" customWidth="1"/>
    <col min="13062" max="13062" width="6.5703125" style="27" customWidth="1"/>
    <col min="13063" max="13312" width="11.42578125" style="27"/>
    <col min="13313" max="13313" width="11.5703125" style="27" customWidth="1"/>
    <col min="13314" max="13316" width="11.42578125" style="27"/>
    <col min="13317" max="13317" width="10.85546875" style="27" customWidth="1"/>
    <col min="13318" max="13318" width="6.5703125" style="27" customWidth="1"/>
    <col min="13319" max="13568" width="11.42578125" style="27"/>
    <col min="13569" max="13569" width="11.5703125" style="27" customWidth="1"/>
    <col min="13570" max="13572" width="11.42578125" style="27"/>
    <col min="13573" max="13573" width="10.85546875" style="27" customWidth="1"/>
    <col min="13574" max="13574" width="6.5703125" style="27" customWidth="1"/>
    <col min="13575" max="13824" width="11.42578125" style="27"/>
    <col min="13825" max="13825" width="11.5703125" style="27" customWidth="1"/>
    <col min="13826" max="13828" width="11.42578125" style="27"/>
    <col min="13829" max="13829" width="10.85546875" style="27" customWidth="1"/>
    <col min="13830" max="13830" width="6.5703125" style="27" customWidth="1"/>
    <col min="13831" max="14080" width="11.42578125" style="27"/>
    <col min="14081" max="14081" width="11.5703125" style="27" customWidth="1"/>
    <col min="14082" max="14084" width="11.42578125" style="27"/>
    <col min="14085" max="14085" width="10.85546875" style="27" customWidth="1"/>
    <col min="14086" max="14086" width="6.5703125" style="27" customWidth="1"/>
    <col min="14087" max="14336" width="11.42578125" style="27"/>
    <col min="14337" max="14337" width="11.5703125" style="27" customWidth="1"/>
    <col min="14338" max="14340" width="11.42578125" style="27"/>
    <col min="14341" max="14341" width="10.85546875" style="27" customWidth="1"/>
    <col min="14342" max="14342" width="6.5703125" style="27" customWidth="1"/>
    <col min="14343" max="14592" width="11.42578125" style="27"/>
    <col min="14593" max="14593" width="11.5703125" style="27" customWidth="1"/>
    <col min="14594" max="14596" width="11.42578125" style="27"/>
    <col min="14597" max="14597" width="10.85546875" style="27" customWidth="1"/>
    <col min="14598" max="14598" width="6.5703125" style="27" customWidth="1"/>
    <col min="14599" max="14848" width="11.42578125" style="27"/>
    <col min="14849" max="14849" width="11.5703125" style="27" customWidth="1"/>
    <col min="14850" max="14852" width="11.42578125" style="27"/>
    <col min="14853" max="14853" width="10.85546875" style="27" customWidth="1"/>
    <col min="14854" max="14854" width="6.5703125" style="27" customWidth="1"/>
    <col min="14855" max="15104" width="11.42578125" style="27"/>
    <col min="15105" max="15105" width="11.5703125" style="27" customWidth="1"/>
    <col min="15106" max="15108" width="11.42578125" style="27"/>
    <col min="15109" max="15109" width="10.85546875" style="27" customWidth="1"/>
    <col min="15110" max="15110" width="6.5703125" style="27" customWidth="1"/>
    <col min="15111" max="15360" width="11.42578125" style="27"/>
    <col min="15361" max="15361" width="11.5703125" style="27" customWidth="1"/>
    <col min="15362" max="15364" width="11.42578125" style="27"/>
    <col min="15365" max="15365" width="10.85546875" style="27" customWidth="1"/>
    <col min="15366" max="15366" width="6.5703125" style="27" customWidth="1"/>
    <col min="15367" max="15616" width="11.42578125" style="27"/>
    <col min="15617" max="15617" width="11.5703125" style="27" customWidth="1"/>
    <col min="15618" max="15620" width="11.42578125" style="27"/>
    <col min="15621" max="15621" width="10.85546875" style="27" customWidth="1"/>
    <col min="15622" max="15622" width="6.5703125" style="27" customWidth="1"/>
    <col min="15623" max="15872" width="11.42578125" style="27"/>
    <col min="15873" max="15873" width="11.5703125" style="27" customWidth="1"/>
    <col min="15874" max="15876" width="11.42578125" style="27"/>
    <col min="15877" max="15877" width="10.85546875" style="27" customWidth="1"/>
    <col min="15878" max="15878" width="6.5703125" style="27" customWidth="1"/>
    <col min="15879" max="16128" width="11.42578125" style="27"/>
    <col min="16129" max="16129" width="11.5703125" style="27" customWidth="1"/>
    <col min="16130" max="16132" width="11.42578125" style="27"/>
    <col min="16133" max="16133" width="10.85546875" style="27" customWidth="1"/>
    <col min="16134" max="16134" width="6.5703125" style="27" customWidth="1"/>
    <col min="16135" max="16384" width="11.42578125" style="27"/>
  </cols>
  <sheetData>
    <row r="1" spans="1:13" ht="18.75" x14ac:dyDescent="0.3">
      <c r="A1" s="30" t="s">
        <v>113</v>
      </c>
    </row>
    <row r="2" spans="1:13" x14ac:dyDescent="0.25">
      <c r="A2" s="28" t="s">
        <v>114</v>
      </c>
    </row>
    <row r="3" spans="1:13" ht="18" x14ac:dyDescent="0.25">
      <c r="A3" s="29" t="s">
        <v>95</v>
      </c>
      <c r="B3" s="149" t="s">
        <v>115</v>
      </c>
      <c r="C3" s="149"/>
      <c r="D3" s="149"/>
      <c r="E3" s="116">
        <f>B3/12</f>
        <v>2250</v>
      </c>
      <c r="F3" s="147"/>
      <c r="G3" s="148"/>
      <c r="H3" s="148"/>
      <c r="I3" s="148"/>
      <c r="J3" s="148"/>
      <c r="K3" s="148"/>
      <c r="L3" s="148"/>
      <c r="M3" s="148"/>
    </row>
    <row r="4" spans="1:13" ht="18" x14ac:dyDescent="0.25">
      <c r="A4" s="29"/>
      <c r="B4" s="118"/>
      <c r="C4" s="118"/>
      <c r="D4" s="118"/>
      <c r="E4" s="116">
        <f>B4/12</f>
        <v>0</v>
      </c>
      <c r="F4" s="64"/>
      <c r="G4" s="64"/>
      <c r="H4" s="64"/>
      <c r="I4" s="64"/>
      <c r="J4" s="64"/>
      <c r="K4" s="64"/>
      <c r="L4" s="64"/>
      <c r="M4" s="64"/>
    </row>
    <row r="5" spans="1:13" ht="18" x14ac:dyDescent="0.25">
      <c r="A5" s="29"/>
      <c r="B5" s="149" t="s">
        <v>117</v>
      </c>
      <c r="C5" s="149"/>
      <c r="D5" s="149"/>
      <c r="E5" s="75">
        <v>1.0349999999999999</v>
      </c>
      <c r="F5" s="64"/>
      <c r="G5" s="64"/>
      <c r="H5" s="64"/>
      <c r="I5" s="64"/>
      <c r="J5" s="64"/>
      <c r="K5" s="64"/>
      <c r="L5" s="64"/>
      <c r="M5" s="64"/>
    </row>
    <row r="6" spans="1:13" ht="18" x14ac:dyDescent="0.25">
      <c r="A6" s="29"/>
      <c r="B6" s="149" t="s">
        <v>133</v>
      </c>
      <c r="C6" s="149"/>
      <c r="D6" s="149"/>
      <c r="E6" s="75">
        <v>1.0396000000000001</v>
      </c>
      <c r="F6" s="64"/>
      <c r="G6" s="64"/>
      <c r="H6" s="64"/>
      <c r="I6" s="64"/>
      <c r="J6" s="64"/>
      <c r="K6" s="64"/>
      <c r="L6" s="64"/>
      <c r="M6" s="64"/>
    </row>
    <row r="7" spans="1:13" ht="18" x14ac:dyDescent="0.25">
      <c r="A7" s="29"/>
      <c r="B7" s="66"/>
      <c r="C7" s="66"/>
      <c r="D7" s="66"/>
      <c r="E7" s="67"/>
      <c r="F7" s="64"/>
      <c r="G7" s="64"/>
      <c r="H7" s="64"/>
      <c r="I7" s="64"/>
      <c r="J7" s="64"/>
      <c r="K7" s="64"/>
      <c r="L7" s="64"/>
      <c r="M7" s="64"/>
    </row>
  </sheetData>
  <mergeCells count="4">
    <mergeCell ref="F3:M3"/>
    <mergeCell ref="B3:D3"/>
    <mergeCell ref="B6:D6"/>
    <mergeCell ref="B5:D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31"/>
  <sheetViews>
    <sheetView showGridLines="0" tabSelected="1" topLeftCell="A173" zoomScale="90" zoomScaleNormal="90" workbookViewId="0">
      <selection activeCell="A206" sqref="A206"/>
    </sheetView>
  </sheetViews>
  <sheetFormatPr baseColWidth="10" defaultColWidth="11.42578125" defaultRowHeight="15" x14ac:dyDescent="0.25"/>
  <cols>
    <col min="1" max="1" width="61.42578125" customWidth="1"/>
    <col min="2" max="2" width="13.28515625" style="32" customWidth="1"/>
    <col min="3" max="3" width="10.5703125" style="32" customWidth="1"/>
    <col min="4" max="4" width="12.28515625" style="32" customWidth="1"/>
    <col min="5" max="5" width="14.140625" style="9" customWidth="1"/>
    <col min="6" max="6" width="15.7109375" style="32" customWidth="1"/>
    <col min="7" max="7" width="16.28515625" style="9" customWidth="1"/>
    <col min="8" max="8" width="11.42578125" style="32" customWidth="1"/>
    <col min="9" max="9" width="10.85546875" style="9" customWidth="1"/>
    <col min="10" max="10" width="13.42578125" style="32" customWidth="1"/>
    <col min="11" max="11" width="18" style="95" customWidth="1"/>
    <col min="12" max="12" width="9" customWidth="1"/>
    <col min="13" max="13" width="11.140625" customWidth="1"/>
    <col min="14" max="14" width="11" customWidth="1"/>
    <col min="15" max="15" width="23.140625" customWidth="1"/>
    <col min="16" max="16" width="9.140625" customWidth="1"/>
  </cols>
  <sheetData>
    <row r="1" spans="1:16" ht="15.75" x14ac:dyDescent="0.25">
      <c r="A1" s="3" t="s">
        <v>58</v>
      </c>
      <c r="B1" s="3"/>
      <c r="C1" s="3"/>
      <c r="D1" s="3"/>
      <c r="E1" s="3"/>
      <c r="F1" s="3"/>
      <c r="G1" s="3"/>
      <c r="H1" s="3"/>
      <c r="I1" s="3"/>
      <c r="J1" s="3"/>
      <c r="K1" s="4"/>
      <c r="L1" s="3"/>
      <c r="M1" s="3"/>
      <c r="N1" s="3"/>
      <c r="O1" s="3"/>
      <c r="P1" s="3"/>
    </row>
    <row r="2" spans="1:16" ht="15.75" x14ac:dyDescent="0.25">
      <c r="A2" s="5" t="s">
        <v>26</v>
      </c>
      <c r="B2" s="3"/>
      <c r="C2" s="3"/>
      <c r="D2" s="3"/>
      <c r="E2" s="5"/>
      <c r="F2" s="6"/>
      <c r="G2" s="5"/>
      <c r="H2" s="5"/>
      <c r="I2" s="5"/>
      <c r="J2" s="3"/>
      <c r="K2" s="4"/>
      <c r="L2" s="3"/>
      <c r="M2" s="3"/>
      <c r="N2" s="3"/>
      <c r="O2" s="3"/>
      <c r="P2" s="3"/>
    </row>
    <row r="3" spans="1:16" ht="15.75" x14ac:dyDescent="0.25">
      <c r="A3" s="5"/>
      <c r="B3" s="3"/>
      <c r="C3" s="3"/>
      <c r="D3" s="3"/>
      <c r="E3" s="5"/>
      <c r="F3" s="6"/>
      <c r="G3" s="5"/>
      <c r="H3" s="5"/>
      <c r="I3" s="5"/>
      <c r="J3" s="3"/>
      <c r="K3" s="4"/>
      <c r="L3" s="3"/>
      <c r="M3" s="3"/>
      <c r="N3" s="3"/>
      <c r="O3" s="3"/>
      <c r="P3" s="3"/>
    </row>
    <row r="4" spans="1:16" ht="15.75" x14ac:dyDescent="0.25">
      <c r="A4" s="5" t="s">
        <v>27</v>
      </c>
      <c r="B4" s="3"/>
      <c r="C4" s="3"/>
      <c r="D4" s="3"/>
      <c r="E4" s="5"/>
      <c r="F4" s="6"/>
      <c r="G4" s="5"/>
      <c r="H4" s="5"/>
      <c r="I4" s="5"/>
      <c r="J4" s="3"/>
      <c r="K4" s="4"/>
      <c r="L4" s="3"/>
      <c r="M4" s="3"/>
      <c r="N4" s="3"/>
      <c r="O4" s="3"/>
      <c r="P4" s="3"/>
    </row>
    <row r="5" spans="1:16" ht="15.75" x14ac:dyDescent="0.25">
      <c r="A5" s="5"/>
      <c r="B5" s="3"/>
      <c r="C5" s="3"/>
      <c r="D5" s="3"/>
      <c r="E5" s="5"/>
      <c r="F5" s="6"/>
      <c r="G5" s="5"/>
      <c r="H5" s="5"/>
      <c r="I5" s="5"/>
      <c r="J5" s="3"/>
      <c r="K5" s="4"/>
      <c r="L5" s="3"/>
      <c r="M5" s="3"/>
      <c r="N5" s="3"/>
      <c r="O5" s="3"/>
      <c r="P5" s="3"/>
    </row>
    <row r="6" spans="1:16" ht="15.75" x14ac:dyDescent="0.25">
      <c r="A6" s="5" t="s">
        <v>38</v>
      </c>
      <c r="B6" s="3"/>
      <c r="C6" s="3"/>
      <c r="D6" s="3"/>
      <c r="E6" s="5"/>
      <c r="F6" s="6"/>
      <c r="G6" s="5"/>
      <c r="H6" s="5"/>
      <c r="I6" s="5"/>
      <c r="J6" s="3"/>
      <c r="K6" s="4"/>
      <c r="L6" s="3"/>
      <c r="M6" s="3"/>
      <c r="N6" s="3"/>
      <c r="O6" s="3"/>
      <c r="P6" s="3"/>
    </row>
    <row r="7" spans="1:16" ht="15.75" x14ac:dyDescent="0.25">
      <c r="A7" s="5" t="s">
        <v>37</v>
      </c>
      <c r="B7" s="3"/>
      <c r="C7" s="3"/>
      <c r="D7" s="3"/>
      <c r="E7" s="5"/>
      <c r="F7" s="6"/>
      <c r="G7" s="5"/>
      <c r="H7" s="5"/>
      <c r="I7" s="5"/>
      <c r="J7" s="3"/>
      <c r="K7" s="4"/>
      <c r="L7" s="3"/>
      <c r="M7" s="3"/>
      <c r="N7" s="3"/>
      <c r="O7" s="3"/>
      <c r="P7" s="3"/>
    </row>
    <row r="8" spans="1:16" ht="15.75" x14ac:dyDescent="0.25">
      <c r="A8" s="5" t="s">
        <v>39</v>
      </c>
      <c r="B8" s="3"/>
      <c r="C8" s="3"/>
      <c r="D8" s="3"/>
      <c r="E8" s="5"/>
      <c r="F8" s="6"/>
      <c r="G8" s="5"/>
      <c r="H8" s="5"/>
      <c r="I8" s="5"/>
      <c r="J8" s="3"/>
      <c r="K8" s="4"/>
      <c r="L8" s="3"/>
      <c r="M8" s="3"/>
      <c r="N8" s="3"/>
      <c r="O8" s="3"/>
      <c r="P8" s="3"/>
    </row>
    <row r="9" spans="1:16" ht="15.75" x14ac:dyDescent="0.25">
      <c r="A9" s="5" t="s">
        <v>68</v>
      </c>
      <c r="B9" s="3"/>
      <c r="C9" s="3"/>
      <c r="D9" s="3"/>
      <c r="E9" s="5"/>
      <c r="F9" s="6"/>
      <c r="G9" s="5"/>
      <c r="H9" s="5"/>
      <c r="I9" s="5"/>
      <c r="J9" s="3"/>
      <c r="K9" s="4"/>
      <c r="L9" s="3"/>
      <c r="M9" s="3"/>
      <c r="N9" s="3"/>
      <c r="O9" s="3"/>
      <c r="P9" s="3"/>
    </row>
    <row r="10" spans="1:16" ht="15.75" x14ac:dyDescent="0.25">
      <c r="A10" s="5" t="s">
        <v>83</v>
      </c>
      <c r="B10" s="3"/>
      <c r="C10" s="3"/>
      <c r="D10" s="3"/>
      <c r="E10" s="5"/>
      <c r="F10" s="6"/>
      <c r="G10" s="5"/>
      <c r="H10" s="5"/>
      <c r="I10" s="5"/>
      <c r="J10" s="3"/>
      <c r="K10" s="4"/>
      <c r="L10" s="3"/>
      <c r="M10" s="3"/>
      <c r="N10" s="3"/>
      <c r="O10" s="3"/>
      <c r="P10" s="3"/>
    </row>
    <row r="11" spans="1:16" ht="15.75" x14ac:dyDescent="0.25">
      <c r="A11" s="5"/>
      <c r="B11" s="3"/>
      <c r="C11" s="3"/>
      <c r="D11" s="3"/>
      <c r="E11" s="5"/>
      <c r="F11" s="6"/>
      <c r="G11" s="5"/>
      <c r="H11" s="5"/>
      <c r="I11" s="5"/>
      <c r="J11" s="3"/>
      <c r="K11" s="4"/>
      <c r="L11" s="3"/>
      <c r="M11" s="3"/>
      <c r="N11" s="3"/>
      <c r="O11" s="3"/>
      <c r="P11" s="3"/>
    </row>
    <row r="12" spans="1:16" ht="15.75" x14ac:dyDescent="0.25">
      <c r="A12" s="5" t="s">
        <v>28</v>
      </c>
      <c r="B12" s="3"/>
      <c r="C12" s="3"/>
      <c r="D12" s="3"/>
      <c r="E12" s="5"/>
      <c r="F12" s="6"/>
      <c r="G12" s="5"/>
      <c r="H12" s="5"/>
      <c r="I12" s="5"/>
      <c r="J12" s="3"/>
      <c r="K12" s="4"/>
      <c r="L12" s="3"/>
      <c r="M12" s="3"/>
      <c r="N12" s="3"/>
      <c r="O12" s="3"/>
      <c r="P12" s="3"/>
    </row>
    <row r="13" spans="1:16" ht="15.75" x14ac:dyDescent="0.25">
      <c r="A13" s="5"/>
      <c r="B13" s="3"/>
      <c r="C13" s="3"/>
      <c r="D13" s="3"/>
      <c r="E13" s="5"/>
      <c r="F13" s="6"/>
      <c r="G13" s="3"/>
      <c r="H13" s="3"/>
      <c r="I13" s="3"/>
      <c r="J13" s="3"/>
      <c r="K13" s="4"/>
      <c r="L13" s="3"/>
      <c r="M13" s="3"/>
      <c r="N13" s="3"/>
      <c r="O13" s="3"/>
      <c r="P13" s="3"/>
    </row>
    <row r="14" spans="1:16" ht="15.75" x14ac:dyDescent="0.25">
      <c r="A14" s="5" t="s">
        <v>29</v>
      </c>
      <c r="B14" s="3"/>
      <c r="C14" s="3"/>
      <c r="D14" s="3"/>
      <c r="E14" s="5"/>
      <c r="F14" s="3"/>
      <c r="G14" s="3"/>
      <c r="H14" s="3"/>
      <c r="I14" s="3"/>
      <c r="J14" s="3"/>
      <c r="K14" s="4"/>
      <c r="L14" s="3"/>
      <c r="M14" s="3"/>
      <c r="N14" s="3"/>
      <c r="O14" s="3"/>
      <c r="P14" s="3"/>
    </row>
    <row r="15" spans="1:16" ht="15.75" x14ac:dyDescent="0.25">
      <c r="A15" s="5"/>
      <c r="B15" s="3"/>
      <c r="C15" s="3"/>
      <c r="D15" s="3"/>
      <c r="E15" s="3"/>
      <c r="F15" s="3"/>
      <c r="G15" s="3"/>
      <c r="H15" s="3"/>
      <c r="I15" s="3"/>
      <c r="J15" s="3"/>
      <c r="K15" s="4"/>
      <c r="L15" s="3"/>
      <c r="M15" s="3"/>
      <c r="N15" s="3"/>
      <c r="O15" s="3"/>
      <c r="P15" s="3"/>
    </row>
    <row r="16" spans="1:16" ht="15.75" x14ac:dyDescent="0.25">
      <c r="A16" s="4" t="s">
        <v>30</v>
      </c>
      <c r="B16" s="3"/>
      <c r="C16" s="3"/>
      <c r="D16" s="3"/>
      <c r="E16" s="5"/>
      <c r="F16" s="3"/>
      <c r="G16" s="3"/>
      <c r="H16" s="3"/>
      <c r="I16" s="3"/>
      <c r="J16" s="3"/>
      <c r="K16" s="4"/>
      <c r="L16" s="3"/>
      <c r="M16" s="3"/>
      <c r="N16" s="3"/>
      <c r="O16" s="3"/>
      <c r="P16" s="3"/>
    </row>
    <row r="17" spans="1:16" ht="15.75" x14ac:dyDescent="0.25">
      <c r="A17" s="5"/>
      <c r="B17" s="3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  <c r="O17" s="3"/>
      <c r="P17" s="3"/>
    </row>
    <row r="18" spans="1:16" ht="15.75" x14ac:dyDescent="0.25">
      <c r="A18" s="5" t="s">
        <v>31</v>
      </c>
      <c r="B18" s="3"/>
      <c r="C18" s="3"/>
      <c r="D18" s="3"/>
      <c r="E18" s="5"/>
      <c r="F18" s="3"/>
      <c r="G18" s="3"/>
      <c r="H18" s="3"/>
      <c r="I18" s="3"/>
      <c r="J18" s="3"/>
      <c r="K18" s="4"/>
      <c r="L18" s="3"/>
      <c r="M18" s="3"/>
      <c r="N18" s="3"/>
      <c r="O18" s="3"/>
      <c r="P18" s="3"/>
    </row>
    <row r="19" spans="1:16" ht="15.75" x14ac:dyDescent="0.25">
      <c r="A19" s="5" t="s">
        <v>32</v>
      </c>
      <c r="B19" s="3"/>
      <c r="C19" s="3"/>
      <c r="D19" s="3"/>
      <c r="E19" s="5"/>
      <c r="F19" s="3"/>
      <c r="G19" s="3"/>
      <c r="H19" s="3"/>
      <c r="I19" s="3"/>
      <c r="J19" s="3"/>
      <c r="K19" s="4"/>
      <c r="L19" s="3"/>
      <c r="M19" s="3"/>
      <c r="N19" s="3"/>
      <c r="O19" s="3"/>
      <c r="P19" s="3"/>
    </row>
    <row r="20" spans="1:16" ht="15.75" x14ac:dyDescent="0.25">
      <c r="A20" s="5" t="s">
        <v>33</v>
      </c>
      <c r="B20" s="3"/>
      <c r="C20" s="3"/>
      <c r="D20" s="3"/>
      <c r="E20" s="5"/>
      <c r="F20" s="3"/>
      <c r="G20" s="3"/>
      <c r="H20" s="3"/>
      <c r="I20" s="3"/>
      <c r="J20" s="3"/>
      <c r="K20" s="4"/>
      <c r="L20" s="3"/>
      <c r="M20" s="3"/>
      <c r="N20" s="3"/>
      <c r="O20" s="3"/>
      <c r="P20" s="3"/>
    </row>
    <row r="21" spans="1:16" ht="15.75" x14ac:dyDescent="0.25">
      <c r="A21" s="5" t="s">
        <v>34</v>
      </c>
      <c r="B21" s="3"/>
      <c r="C21" s="3"/>
      <c r="D21" s="3"/>
      <c r="E21" s="5"/>
      <c r="F21" s="3"/>
      <c r="G21" s="3"/>
      <c r="H21" s="3"/>
      <c r="I21" s="3"/>
      <c r="J21" s="3"/>
      <c r="K21" s="4"/>
      <c r="L21" s="3"/>
      <c r="M21" s="3"/>
      <c r="N21" s="3"/>
      <c r="O21" s="3"/>
      <c r="P21" s="3"/>
    </row>
    <row r="22" spans="1:16" ht="15.75" x14ac:dyDescent="0.25">
      <c r="A22" s="5" t="s">
        <v>35</v>
      </c>
      <c r="B22" s="3"/>
      <c r="C22" s="3"/>
      <c r="D22" s="3"/>
      <c r="E22" s="5"/>
      <c r="F22" s="3"/>
      <c r="G22" s="3"/>
      <c r="H22" s="3"/>
      <c r="I22" s="3"/>
      <c r="J22" s="3"/>
      <c r="K22" s="4"/>
      <c r="L22" s="3"/>
      <c r="M22" s="3"/>
      <c r="N22" s="3"/>
      <c r="O22" s="3"/>
      <c r="P22" s="3"/>
    </row>
    <row r="23" spans="1:16" ht="15.75" x14ac:dyDescent="0.25">
      <c r="A23" s="5" t="s">
        <v>36</v>
      </c>
      <c r="B23" s="3"/>
      <c r="C23" s="3"/>
      <c r="D23" s="7"/>
      <c r="E23" s="5"/>
      <c r="F23" s="3"/>
      <c r="G23" s="3"/>
      <c r="H23" s="3"/>
      <c r="I23" s="3"/>
      <c r="J23" s="3"/>
      <c r="K23" s="4"/>
      <c r="L23" s="3"/>
      <c r="M23" s="3"/>
      <c r="N23" s="3"/>
      <c r="O23" s="3"/>
      <c r="P23" s="3"/>
    </row>
    <row r="24" spans="1:16" ht="15.75" x14ac:dyDescent="0.25">
      <c r="A24" s="5" t="s">
        <v>69</v>
      </c>
      <c r="B24" s="3"/>
      <c r="C24" s="3"/>
      <c r="D24" s="7"/>
      <c r="E24" s="5"/>
      <c r="F24" s="3"/>
      <c r="G24" s="3"/>
      <c r="H24" s="3"/>
      <c r="I24" s="3"/>
      <c r="J24" s="3"/>
      <c r="K24" s="4"/>
      <c r="L24" s="3"/>
      <c r="M24" s="3"/>
      <c r="N24" s="3"/>
      <c r="O24" s="3"/>
      <c r="P24" s="3"/>
    </row>
    <row r="25" spans="1:16" ht="15.75" x14ac:dyDescent="0.25">
      <c r="A25" s="5" t="s">
        <v>67</v>
      </c>
      <c r="B25" s="3"/>
      <c r="C25" s="3"/>
      <c r="D25" s="7"/>
      <c r="E25" s="5"/>
      <c r="F25" s="3"/>
      <c r="G25" s="3"/>
      <c r="H25" s="3"/>
      <c r="I25" s="3"/>
      <c r="J25" s="3"/>
      <c r="K25" s="4"/>
      <c r="L25" s="3"/>
      <c r="M25" s="3"/>
      <c r="N25" s="3"/>
      <c r="O25" s="3"/>
      <c r="P25" s="3"/>
    </row>
    <row r="26" spans="1:16" ht="15.75" x14ac:dyDescent="0.25">
      <c r="A26" s="5"/>
      <c r="B26" s="3"/>
      <c r="C26" s="3"/>
      <c r="D26" s="7"/>
      <c r="E26" s="5"/>
      <c r="F26" s="3"/>
      <c r="G26" s="3"/>
      <c r="H26" s="3"/>
      <c r="I26" s="3"/>
      <c r="J26" s="3"/>
      <c r="K26" s="4"/>
      <c r="L26" s="3"/>
      <c r="M26" s="3"/>
      <c r="N26" s="3"/>
      <c r="O26" s="3"/>
      <c r="P26" s="3"/>
    </row>
    <row r="27" spans="1:16" s="3" customFormat="1" ht="15.75" x14ac:dyDescent="0.25">
      <c r="A27" s="17" t="s">
        <v>110</v>
      </c>
      <c r="B27" s="17"/>
      <c r="C27" s="17"/>
      <c r="D27" s="68"/>
      <c r="E27" s="13"/>
      <c r="F27" s="13"/>
      <c r="G27" s="13"/>
      <c r="H27" s="13"/>
      <c r="I27" s="13"/>
      <c r="J27" s="13"/>
      <c r="K27" s="119"/>
      <c r="L27" s="13"/>
      <c r="M27" s="13"/>
      <c r="N27" s="68"/>
      <c r="O27" s="18"/>
    </row>
    <row r="28" spans="1:16" s="3" customFormat="1" ht="15.75" x14ac:dyDescent="0.25">
      <c r="A28" s="17"/>
      <c r="B28" s="17"/>
      <c r="C28" s="17"/>
      <c r="D28" s="68"/>
      <c r="E28" s="13"/>
      <c r="F28" s="13"/>
      <c r="G28" s="13"/>
      <c r="H28" s="13"/>
      <c r="I28" s="13"/>
      <c r="J28" s="13"/>
      <c r="K28" s="119"/>
      <c r="L28" s="13"/>
      <c r="M28" s="13"/>
      <c r="N28" s="68"/>
      <c r="O28" s="18"/>
    </row>
    <row r="29" spans="1:16" s="3" customFormat="1" ht="15.75" x14ac:dyDescent="0.25">
      <c r="A29" s="17"/>
      <c r="B29" s="17"/>
      <c r="C29" s="17"/>
      <c r="D29" s="68"/>
      <c r="E29" s="13"/>
      <c r="F29" s="13"/>
      <c r="G29" s="13"/>
      <c r="H29" s="13"/>
      <c r="I29" s="13"/>
      <c r="J29" s="13"/>
      <c r="K29" s="119"/>
      <c r="L29" s="13"/>
      <c r="M29" s="13"/>
      <c r="N29" s="68"/>
      <c r="O29" s="18"/>
    </row>
    <row r="30" spans="1:16" ht="16.5" thickBot="1" x14ac:dyDescent="0.3">
      <c r="A30" s="5"/>
      <c r="B30" s="4"/>
      <c r="C30" s="4"/>
      <c r="D30" s="7"/>
      <c r="E30" s="3"/>
      <c r="F30" s="3"/>
      <c r="G30" s="3"/>
      <c r="H30" s="3"/>
      <c r="I30" s="3"/>
      <c r="J30" s="3"/>
      <c r="K30" s="4"/>
      <c r="L30" s="3"/>
      <c r="M30" s="3"/>
      <c r="N30" s="7"/>
      <c r="O30" s="3"/>
      <c r="P30" s="3"/>
    </row>
    <row r="31" spans="1:16" s="1" customFormat="1" ht="19.5" thickBot="1" x14ac:dyDescent="0.35">
      <c r="A31" s="156" t="s">
        <v>70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8"/>
    </row>
    <row r="32" spans="1:16" x14ac:dyDescent="0.25">
      <c r="A32" s="24" t="s">
        <v>98</v>
      </c>
      <c r="B32" s="25" t="s">
        <v>1</v>
      </c>
      <c r="C32" s="25" t="s">
        <v>1</v>
      </c>
      <c r="D32" s="25" t="s">
        <v>2</v>
      </c>
      <c r="E32" s="26"/>
      <c r="F32" s="25" t="s">
        <v>109</v>
      </c>
      <c r="G32" s="26"/>
      <c r="H32" s="25"/>
      <c r="I32" s="26"/>
      <c r="J32" s="25"/>
      <c r="K32" s="93"/>
      <c r="L32" s="25"/>
      <c r="M32" s="26"/>
    </row>
    <row r="33" spans="1:15" x14ac:dyDescent="0.25">
      <c r="A33" s="2" t="s">
        <v>0</v>
      </c>
      <c r="B33" s="32">
        <f>C33*Forhandlingsresultat!$E$5</f>
        <v>86262.074999999997</v>
      </c>
      <c r="C33" s="9">
        <v>83345</v>
      </c>
      <c r="D33" s="32">
        <f>E33*Forhandlingsresultat!$E$5</f>
        <v>87805.26</v>
      </c>
      <c r="E33" s="9">
        <v>84836</v>
      </c>
      <c r="F33" s="32">
        <f>G33*Forhandlingsresultat!$E$5</f>
        <v>89390.87999999999</v>
      </c>
      <c r="G33" s="9">
        <v>86368</v>
      </c>
      <c r="I33" s="8"/>
      <c r="K33" s="94"/>
      <c r="L33" s="32"/>
      <c r="M33" s="45"/>
    </row>
    <row r="34" spans="1:15" x14ac:dyDescent="0.25">
      <c r="A34" s="24" t="s">
        <v>99</v>
      </c>
      <c r="B34" s="25" t="s">
        <v>1</v>
      </c>
      <c r="C34" s="26" t="s">
        <v>1</v>
      </c>
      <c r="D34" s="25" t="s">
        <v>2</v>
      </c>
      <c r="E34" s="26"/>
      <c r="F34" s="25" t="s">
        <v>3</v>
      </c>
      <c r="G34" s="26"/>
      <c r="H34" s="25" t="s">
        <v>105</v>
      </c>
      <c r="I34" s="26"/>
      <c r="J34" s="25"/>
      <c r="K34" s="93"/>
      <c r="L34" s="25"/>
      <c r="M34" s="45"/>
    </row>
    <row r="35" spans="1:15" x14ac:dyDescent="0.25">
      <c r="A35" s="2" t="s">
        <v>0</v>
      </c>
      <c r="B35" s="32">
        <f>C35*Forhandlingsresultat!$E$5</f>
        <v>86262.074999999997</v>
      </c>
      <c r="C35" s="9">
        <v>83345</v>
      </c>
      <c r="D35" s="32">
        <f>E35*Forhandlingsresultat!$E$5</f>
        <v>87805.26</v>
      </c>
      <c r="E35" s="9">
        <v>84836</v>
      </c>
      <c r="F35" s="32">
        <f>G35*Forhandlingsresultat!$E$5</f>
        <v>89390.87999999999</v>
      </c>
      <c r="G35" s="9">
        <v>86368</v>
      </c>
      <c r="H35" s="32">
        <f>I35*Forhandlingsresultat!$E$5</f>
        <v>90962.01</v>
      </c>
      <c r="I35" s="8">
        <v>87886</v>
      </c>
      <c r="K35" s="94"/>
      <c r="L35" s="32"/>
      <c r="M35" s="45"/>
    </row>
    <row r="36" spans="1:15" x14ac:dyDescent="0.25">
      <c r="A36" s="24" t="s">
        <v>79</v>
      </c>
      <c r="B36" s="25" t="s">
        <v>1</v>
      </c>
      <c r="C36" s="26" t="s">
        <v>1</v>
      </c>
      <c r="D36" s="25" t="s">
        <v>2</v>
      </c>
      <c r="E36" s="26" t="s">
        <v>2</v>
      </c>
      <c r="F36" s="25" t="s">
        <v>3</v>
      </c>
      <c r="G36" s="26" t="s">
        <v>3</v>
      </c>
      <c r="H36" s="25" t="s">
        <v>4</v>
      </c>
      <c r="I36" s="26" t="s">
        <v>4</v>
      </c>
      <c r="J36" s="25" t="s">
        <v>5</v>
      </c>
      <c r="K36" s="93" t="s">
        <v>5</v>
      </c>
      <c r="L36" s="25" t="s">
        <v>6</v>
      </c>
    </row>
    <row r="37" spans="1:15" x14ac:dyDescent="0.25">
      <c r="A37" s="2" t="s">
        <v>0</v>
      </c>
      <c r="B37" s="32">
        <f>C37*Forhandlingsresultat!$E$5</f>
        <v>75314.87999999999</v>
      </c>
      <c r="C37" s="8">
        <v>72768</v>
      </c>
      <c r="D37" s="32">
        <f>E37*Forhandlingsresultat!$E$5</f>
        <v>76562.054999999993</v>
      </c>
      <c r="E37" s="8">
        <v>73973</v>
      </c>
      <c r="F37" s="32">
        <f>G37*Forhandlingsresultat!$E$5</f>
        <v>77801.985000000001</v>
      </c>
      <c r="G37" s="8">
        <v>75171</v>
      </c>
      <c r="H37" s="32">
        <f>I37*Forhandlingsresultat!$E$5</f>
        <v>79094.7</v>
      </c>
      <c r="I37" s="8">
        <v>76420</v>
      </c>
      <c r="J37" s="32">
        <f>K37*Forhandlingsresultat!$E$5</f>
        <v>80809.694999999992</v>
      </c>
      <c r="K37" s="94">
        <v>78077</v>
      </c>
      <c r="L37" s="32">
        <f>M37*Forhandlingsresultat!$E$5</f>
        <v>83459.294999999998</v>
      </c>
      <c r="M37" s="8">
        <v>80637</v>
      </c>
    </row>
    <row r="38" spans="1:15" x14ac:dyDescent="0.25">
      <c r="A38" s="24" t="s">
        <v>77</v>
      </c>
      <c r="B38" s="25" t="s">
        <v>1</v>
      </c>
      <c r="C38" s="26" t="s">
        <v>1</v>
      </c>
      <c r="D38" s="25" t="s">
        <v>2</v>
      </c>
      <c r="E38" s="26" t="s">
        <v>2</v>
      </c>
      <c r="F38" s="25" t="s">
        <v>3</v>
      </c>
      <c r="G38" s="26" t="s">
        <v>3</v>
      </c>
      <c r="H38" s="25" t="s">
        <v>4</v>
      </c>
      <c r="I38" s="26" t="s">
        <v>4</v>
      </c>
      <c r="J38" s="25" t="s">
        <v>5</v>
      </c>
      <c r="K38" s="93" t="s">
        <v>5</v>
      </c>
    </row>
    <row r="39" spans="1:15" x14ac:dyDescent="0.25">
      <c r="A39" s="2" t="s">
        <v>0</v>
      </c>
      <c r="B39" s="32">
        <f>C39+Forhandlingsresultat!$E$3</f>
        <v>64353</v>
      </c>
      <c r="C39" s="8">
        <v>62103</v>
      </c>
      <c r="D39" s="32">
        <f>E39+Forhandlingsresultat!$E$3</f>
        <v>65506</v>
      </c>
      <c r="E39" s="8">
        <v>63256</v>
      </c>
      <c r="F39" s="32">
        <f>G39*Forhandlingsresultat!$E$5</f>
        <v>66717.134999999995</v>
      </c>
      <c r="G39" s="8">
        <v>64461</v>
      </c>
      <c r="H39" s="32">
        <f>I39*Forhandlingsresultat!$E$5</f>
        <v>67751.099999999991</v>
      </c>
      <c r="I39" s="8">
        <v>65460</v>
      </c>
      <c r="J39" s="32">
        <f>K39*Forhandlingsresultat!$E$5</f>
        <v>69212.51999999999</v>
      </c>
      <c r="K39" s="94">
        <v>66872</v>
      </c>
    </row>
    <row r="40" spans="1:15" x14ac:dyDescent="0.25">
      <c r="A40" s="125" t="s">
        <v>100</v>
      </c>
      <c r="B40" s="126" t="s">
        <v>1</v>
      </c>
      <c r="C40" s="127" t="s">
        <v>1</v>
      </c>
      <c r="D40" s="126" t="s">
        <v>2</v>
      </c>
      <c r="E40" s="127" t="s">
        <v>2</v>
      </c>
      <c r="F40" s="126" t="s">
        <v>3</v>
      </c>
      <c r="G40" s="127" t="s">
        <v>3</v>
      </c>
      <c r="H40" s="126" t="s">
        <v>106</v>
      </c>
      <c r="I40" s="126"/>
      <c r="J40" s="126"/>
      <c r="K40" s="93"/>
    </row>
    <row r="41" spans="1:15" x14ac:dyDescent="0.25">
      <c r="A41" s="2" t="s">
        <v>0</v>
      </c>
      <c r="B41" s="32">
        <f>C41*Forhandlingsresultat!$E$5</f>
        <v>72799.829999999987</v>
      </c>
      <c r="C41" s="8">
        <v>70338</v>
      </c>
      <c r="D41" s="32">
        <f>E41*Forhandlingsresultat!$E$5</f>
        <v>74045.97</v>
      </c>
      <c r="E41" s="8">
        <v>71542</v>
      </c>
      <c r="F41" s="32">
        <f>G41*Forhandlingsresultat!$E$5</f>
        <v>75285.899999999994</v>
      </c>
      <c r="G41" s="8">
        <v>72740</v>
      </c>
      <c r="H41" s="32">
        <f>I41*Forhandlingsresultat!$E$5</f>
        <v>76579.649999999994</v>
      </c>
      <c r="I41" s="8">
        <v>73990</v>
      </c>
      <c r="J41" s="31"/>
      <c r="K41" s="94"/>
      <c r="L41" s="44"/>
      <c r="M41" s="8"/>
    </row>
    <row r="42" spans="1:15" x14ac:dyDescent="0.25">
      <c r="A42" s="24" t="s">
        <v>78</v>
      </c>
      <c r="B42" s="25" t="s">
        <v>1</v>
      </c>
      <c r="C42" s="26" t="s">
        <v>1</v>
      </c>
      <c r="D42" s="25" t="s">
        <v>2</v>
      </c>
      <c r="E42" s="26" t="s">
        <v>2</v>
      </c>
      <c r="F42" s="25" t="s">
        <v>104</v>
      </c>
      <c r="G42" s="26"/>
      <c r="H42" s="25"/>
      <c r="I42" s="26"/>
      <c r="J42" s="25"/>
      <c r="K42" s="93" t="s">
        <v>5</v>
      </c>
    </row>
    <row r="43" spans="1:15" ht="15.75" thickBot="1" x14ac:dyDescent="0.3">
      <c r="A43" t="s">
        <v>0</v>
      </c>
      <c r="B43" s="32">
        <f>C43*Forhandlingsresultat!$E$5</f>
        <v>78531.659999999989</v>
      </c>
      <c r="C43" s="9">
        <v>75876</v>
      </c>
      <c r="D43" s="32">
        <f>E43*Forhandlingsresultat!$E$5</f>
        <v>79935.12</v>
      </c>
      <c r="E43" s="9">
        <v>77232</v>
      </c>
      <c r="F43" s="32">
        <f>G43*Forhandlingsresultat!$E$5</f>
        <v>81374.804999999993</v>
      </c>
      <c r="G43" s="9">
        <v>78623</v>
      </c>
    </row>
    <row r="44" spans="1:15" ht="22.5" customHeight="1" thickBot="1" x14ac:dyDescent="0.35">
      <c r="A44" s="159" t="s">
        <v>128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57"/>
      <c r="O44" s="158"/>
    </row>
    <row r="45" spans="1:15" x14ac:dyDescent="0.25">
      <c r="A45" s="24" t="s">
        <v>61</v>
      </c>
      <c r="B45" s="25" t="s">
        <v>71</v>
      </c>
      <c r="C45" s="26"/>
      <c r="D45" s="25"/>
      <c r="E45" s="62"/>
      <c r="F45" s="25"/>
      <c r="G45" s="26"/>
      <c r="H45" s="25"/>
      <c r="I45" s="26"/>
      <c r="J45" s="25"/>
      <c r="K45" s="93"/>
      <c r="L45" s="25"/>
      <c r="M45" s="26"/>
      <c r="N45" s="48"/>
      <c r="O45" s="27"/>
    </row>
    <row r="46" spans="1:15" x14ac:dyDescent="0.25">
      <c r="A46" s="2" t="s">
        <v>129</v>
      </c>
      <c r="B46" s="32">
        <v>91932</v>
      </c>
      <c r="C46" s="141">
        <v>91932</v>
      </c>
      <c r="D46" s="31"/>
      <c r="E46" s="61"/>
      <c r="F46" s="31"/>
      <c r="G46" s="8"/>
      <c r="H46" s="31"/>
      <c r="I46"/>
      <c r="J46" s="31"/>
      <c r="K46" s="94"/>
      <c r="N46" s="48"/>
      <c r="O46" s="27"/>
    </row>
    <row r="47" spans="1:15" hidden="1" x14ac:dyDescent="0.25">
      <c r="A47" s="24" t="s">
        <v>60</v>
      </c>
      <c r="B47" s="24" t="s">
        <v>1</v>
      </c>
      <c r="C47" s="142" t="s">
        <v>1</v>
      </c>
      <c r="D47" s="25" t="s">
        <v>2</v>
      </c>
      <c r="E47" s="62" t="s">
        <v>2</v>
      </c>
      <c r="F47" s="25" t="s">
        <v>3</v>
      </c>
      <c r="G47" s="26" t="s">
        <v>3</v>
      </c>
      <c r="H47" s="25" t="s">
        <v>4</v>
      </c>
      <c r="I47" s="26" t="s">
        <v>4</v>
      </c>
      <c r="J47" s="25" t="s">
        <v>5</v>
      </c>
      <c r="K47" s="93" t="s">
        <v>5</v>
      </c>
      <c r="L47" s="25" t="s">
        <v>6</v>
      </c>
      <c r="M47" s="26" t="s">
        <v>6</v>
      </c>
      <c r="N47" s="48"/>
      <c r="O47" s="27"/>
    </row>
    <row r="48" spans="1:15" hidden="1" x14ac:dyDescent="0.25">
      <c r="A48" s="2" t="s">
        <v>0</v>
      </c>
      <c r="B48" s="2">
        <f>C48+Forhandlingsresultat!$E$4</f>
        <v>64677</v>
      </c>
      <c r="C48" s="141">
        <v>64677</v>
      </c>
      <c r="D48" s="32">
        <f>E48+Forhandlingsresultat!$E$4</f>
        <v>66034</v>
      </c>
      <c r="E48" s="8">
        <v>66034</v>
      </c>
      <c r="F48" s="32">
        <f>G48+Forhandlingsresultat!$E$4</f>
        <v>67423</v>
      </c>
      <c r="G48" s="8">
        <v>67423</v>
      </c>
      <c r="H48" s="32">
        <f>I48+Forhandlingsresultat!$E$4</f>
        <v>68839</v>
      </c>
      <c r="I48" s="8">
        <v>68839</v>
      </c>
      <c r="J48" s="32">
        <f>K48+Forhandlingsresultat!$E$4</f>
        <v>70290</v>
      </c>
      <c r="K48" s="94">
        <v>70290</v>
      </c>
      <c r="L48" s="32">
        <f>M48*Forhandlingsresultat!$E$5</f>
        <v>74281.95</v>
      </c>
      <c r="M48" s="8">
        <v>71770</v>
      </c>
    </row>
    <row r="49" spans="1:15" hidden="1" x14ac:dyDescent="0.25">
      <c r="A49" s="24" t="s">
        <v>62</v>
      </c>
      <c r="B49" s="24" t="s">
        <v>1</v>
      </c>
      <c r="C49" s="142" t="s">
        <v>1</v>
      </c>
      <c r="D49" s="25" t="s">
        <v>2</v>
      </c>
      <c r="E49" s="62" t="s">
        <v>2</v>
      </c>
      <c r="F49" s="25" t="s">
        <v>3</v>
      </c>
      <c r="G49" s="26" t="s">
        <v>3</v>
      </c>
      <c r="H49" s="25" t="s">
        <v>4</v>
      </c>
      <c r="I49" s="26" t="s">
        <v>4</v>
      </c>
      <c r="J49" s="25" t="s">
        <v>5</v>
      </c>
      <c r="K49" s="93" t="s">
        <v>5</v>
      </c>
      <c r="L49" s="25" t="s">
        <v>6</v>
      </c>
      <c r="M49" s="26" t="s">
        <v>6</v>
      </c>
    </row>
    <row r="50" spans="1:15" hidden="1" x14ac:dyDescent="0.25">
      <c r="A50" s="89" t="s">
        <v>0</v>
      </c>
      <c r="B50" s="89">
        <f>C50+Forhandlingsresultat!$E$4</f>
        <v>57487</v>
      </c>
      <c r="C50" s="143">
        <v>57487</v>
      </c>
      <c r="D50" s="32">
        <f>E50+Forhandlingsresultat!$E$4</f>
        <v>58471</v>
      </c>
      <c r="E50" s="8">
        <v>58471</v>
      </c>
      <c r="F50" s="32">
        <f>G50+Forhandlingsresultat!$E$4</f>
        <v>59470</v>
      </c>
      <c r="G50" s="8">
        <v>59470</v>
      </c>
      <c r="H50" s="32">
        <f>I50+Forhandlingsresultat!$E$4</f>
        <v>60489</v>
      </c>
      <c r="I50" s="8">
        <v>60489</v>
      </c>
      <c r="J50" s="32">
        <f>K50+Forhandlingsresultat!$E$4</f>
        <v>61525</v>
      </c>
      <c r="K50" s="94">
        <v>61525</v>
      </c>
      <c r="L50" s="8"/>
      <c r="M50" s="8"/>
    </row>
    <row r="51" spans="1:15" hidden="1" x14ac:dyDescent="0.25">
      <c r="A51" s="90" t="s">
        <v>63</v>
      </c>
      <c r="B51" s="90" t="s">
        <v>1</v>
      </c>
      <c r="C51" s="144" t="s">
        <v>1</v>
      </c>
      <c r="D51" s="76" t="s">
        <v>2</v>
      </c>
      <c r="E51" s="77" t="s">
        <v>2</v>
      </c>
      <c r="F51" s="76" t="s">
        <v>3</v>
      </c>
      <c r="G51" s="77" t="s">
        <v>3</v>
      </c>
      <c r="H51" s="76" t="s">
        <v>4</v>
      </c>
      <c r="I51" s="77" t="s">
        <v>4</v>
      </c>
      <c r="J51" s="76" t="s">
        <v>5</v>
      </c>
      <c r="K51" s="96" t="s">
        <v>5</v>
      </c>
      <c r="L51" s="27"/>
      <c r="M51" s="48"/>
    </row>
    <row r="52" spans="1:15" hidden="1" x14ac:dyDescent="0.25">
      <c r="A52" s="88" t="s">
        <v>0</v>
      </c>
      <c r="B52" s="88">
        <f>C52+Forhandlingsresultat!$E$4</f>
        <v>54685</v>
      </c>
      <c r="C52" s="145">
        <v>54685</v>
      </c>
      <c r="D52" s="32">
        <f>E52+Forhandlingsresultat!$E$4</f>
        <v>55618</v>
      </c>
      <c r="E52" s="8">
        <v>55618</v>
      </c>
      <c r="F52" s="32">
        <f>G52+Forhandlingsresultat!$E$4</f>
        <v>56567</v>
      </c>
      <c r="G52" s="8">
        <v>56567</v>
      </c>
      <c r="H52" s="32">
        <f>I52+Forhandlingsresultat!$E$4</f>
        <v>57532</v>
      </c>
      <c r="I52" s="8">
        <v>57532</v>
      </c>
      <c r="J52" s="32">
        <f>K52+Forhandlingsresultat!$E$4</f>
        <v>58516</v>
      </c>
      <c r="K52" s="94">
        <v>58516</v>
      </c>
      <c r="L52" s="8"/>
      <c r="M52" s="8"/>
    </row>
    <row r="53" spans="1:15" x14ac:dyDescent="0.25">
      <c r="A53" s="24" t="s">
        <v>17</v>
      </c>
      <c r="B53" s="25" t="s">
        <v>71</v>
      </c>
      <c r="C53" s="142"/>
      <c r="D53" s="25"/>
      <c r="E53" s="62"/>
      <c r="F53" s="25"/>
      <c r="G53" s="26"/>
      <c r="H53" s="25"/>
      <c r="I53" s="26"/>
      <c r="J53" s="25"/>
      <c r="K53" s="93"/>
      <c r="L53" s="49"/>
      <c r="M53" s="49"/>
      <c r="N53" s="50"/>
      <c r="O53" s="27"/>
    </row>
    <row r="54" spans="1:15" ht="15.75" thickBot="1" x14ac:dyDescent="0.3">
      <c r="A54" s="58" t="s">
        <v>129</v>
      </c>
      <c r="B54" s="32">
        <v>83574</v>
      </c>
      <c r="C54" s="146">
        <v>83574</v>
      </c>
      <c r="D54" s="56"/>
      <c r="E54" s="60"/>
      <c r="F54" s="56"/>
      <c r="G54" s="57"/>
      <c r="H54" s="56"/>
      <c r="I54" s="57"/>
      <c r="L54" s="49"/>
      <c r="M54" s="49"/>
      <c r="N54" s="50"/>
      <c r="O54" s="27"/>
    </row>
    <row r="55" spans="1:15" hidden="1" x14ac:dyDescent="0.25">
      <c r="A55" s="35" t="s">
        <v>64</v>
      </c>
      <c r="B55" s="25" t="s">
        <v>1</v>
      </c>
      <c r="C55" s="26" t="s">
        <v>1</v>
      </c>
      <c r="D55" s="25" t="s">
        <v>2</v>
      </c>
      <c r="E55" s="62" t="s">
        <v>2</v>
      </c>
      <c r="F55" s="25" t="s">
        <v>3</v>
      </c>
      <c r="G55" s="26" t="s">
        <v>3</v>
      </c>
      <c r="H55" s="25" t="s">
        <v>4</v>
      </c>
      <c r="I55" s="26" t="s">
        <v>4</v>
      </c>
      <c r="J55" s="25" t="s">
        <v>5</v>
      </c>
      <c r="K55" s="93" t="s">
        <v>5</v>
      </c>
      <c r="L55" s="25" t="s">
        <v>6</v>
      </c>
      <c r="M55" s="26" t="s">
        <v>6</v>
      </c>
    </row>
    <row r="56" spans="1:15" hidden="1" x14ac:dyDescent="0.25">
      <c r="A56" s="54" t="s">
        <v>0</v>
      </c>
      <c r="B56" s="32">
        <f>C56*Forhandlingsresultat!$E$5</f>
        <v>66662.28</v>
      </c>
      <c r="C56" s="8">
        <v>64408</v>
      </c>
      <c r="D56" s="32">
        <f>E56*Forhandlingsresultat!$E$5</f>
        <v>68400.044999999998</v>
      </c>
      <c r="E56" s="8">
        <v>66087</v>
      </c>
      <c r="F56" s="32">
        <f>G56*Forhandlingsresultat!$E$5</f>
        <v>69756.929999999993</v>
      </c>
      <c r="G56" s="8">
        <v>67398</v>
      </c>
      <c r="H56" s="32">
        <f>I56*Forhandlingsresultat!$E$5</f>
        <v>71141.759999999995</v>
      </c>
      <c r="I56" s="8">
        <v>68736</v>
      </c>
      <c r="J56" s="32">
        <f>K56*Forhandlingsresultat!$E$5</f>
        <v>72558.674999999988</v>
      </c>
      <c r="K56" s="97">
        <v>70105</v>
      </c>
      <c r="L56" s="32">
        <f>M56*Forhandlingsresultat!$E$5</f>
        <v>74005.604999999996</v>
      </c>
      <c r="M56" s="8">
        <v>71503</v>
      </c>
    </row>
    <row r="57" spans="1:15" hidden="1" x14ac:dyDescent="0.25">
      <c r="A57" s="35" t="s">
        <v>65</v>
      </c>
      <c r="B57" s="25" t="s">
        <v>1</v>
      </c>
      <c r="C57" s="26" t="s">
        <v>1</v>
      </c>
      <c r="D57" s="25" t="s">
        <v>2</v>
      </c>
      <c r="E57" s="62" t="s">
        <v>2</v>
      </c>
      <c r="F57" s="25" t="s">
        <v>3</v>
      </c>
      <c r="G57" s="26" t="s">
        <v>3</v>
      </c>
      <c r="H57" s="25" t="s">
        <v>4</v>
      </c>
      <c r="I57" s="26" t="s">
        <v>4</v>
      </c>
      <c r="J57" s="25" t="s">
        <v>5</v>
      </c>
      <c r="K57" s="93" t="s">
        <v>5</v>
      </c>
      <c r="L57" s="27"/>
      <c r="M57" s="48"/>
    </row>
    <row r="58" spans="1:15" ht="15.75" hidden="1" thickBot="1" x14ac:dyDescent="0.3">
      <c r="A58" s="54" t="s">
        <v>0</v>
      </c>
      <c r="B58" s="32">
        <f>C58+Forhandlingsresultat!$E$3</f>
        <v>63191</v>
      </c>
      <c r="C58" s="8">
        <v>60941</v>
      </c>
      <c r="D58" s="32">
        <f>E58+Forhandlingsresultat!$E$3</f>
        <v>64162</v>
      </c>
      <c r="E58" s="8">
        <v>61912</v>
      </c>
      <c r="F58" s="32">
        <f>G58+Forhandlingsresultat!$E$3</f>
        <v>65379</v>
      </c>
      <c r="G58" s="8">
        <v>63129</v>
      </c>
      <c r="H58" s="32">
        <f>I58*Forhandlingsresultat!$E$5</f>
        <v>66627.09</v>
      </c>
      <c r="I58" s="8">
        <v>64374</v>
      </c>
      <c r="J58" s="32">
        <f>K58*Forhandlingsresultat!$E$5</f>
        <v>67943.61</v>
      </c>
      <c r="K58" s="98">
        <v>65646</v>
      </c>
      <c r="L58" s="27"/>
      <c r="M58" s="48"/>
    </row>
    <row r="59" spans="1:15" ht="19.5" hidden="1" thickBot="1" x14ac:dyDescent="0.35">
      <c r="A59" s="159" t="s">
        <v>96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57"/>
      <c r="O59" s="158"/>
    </row>
    <row r="60" spans="1:15" hidden="1" x14ac:dyDescent="0.25">
      <c r="A60" s="24" t="s">
        <v>14</v>
      </c>
      <c r="B60" s="38" t="s">
        <v>1</v>
      </c>
      <c r="C60" s="39" t="s">
        <v>1</v>
      </c>
      <c r="D60" s="38" t="s">
        <v>2</v>
      </c>
      <c r="E60" s="39" t="s">
        <v>2</v>
      </c>
      <c r="F60" s="38" t="s">
        <v>3</v>
      </c>
      <c r="G60" s="39" t="s">
        <v>3</v>
      </c>
      <c r="H60" s="38" t="s">
        <v>4</v>
      </c>
      <c r="I60" s="39" t="s">
        <v>4</v>
      </c>
      <c r="J60" s="38" t="s">
        <v>5</v>
      </c>
      <c r="K60" s="99" t="s">
        <v>5</v>
      </c>
      <c r="L60" s="38" t="s">
        <v>6</v>
      </c>
      <c r="M60" s="40" t="s">
        <v>6</v>
      </c>
    </row>
    <row r="61" spans="1:15" hidden="1" x14ac:dyDescent="0.25">
      <c r="A61" s="2" t="s">
        <v>0</v>
      </c>
      <c r="B61" s="32">
        <f>C61*Forhandlingsresultat!$E$5</f>
        <v>86262.074999999997</v>
      </c>
      <c r="C61" s="8">
        <v>83345</v>
      </c>
      <c r="D61" s="32">
        <f>E61*Forhandlingsresultat!$E$5</f>
        <v>87805.26</v>
      </c>
      <c r="E61" s="8">
        <v>84836</v>
      </c>
      <c r="F61" s="31">
        <f>G61*Forhandlingsresultat!$E$5</f>
        <v>89390.87999999999</v>
      </c>
      <c r="G61" s="8">
        <v>86368</v>
      </c>
      <c r="H61" s="31">
        <f>I61*Forhandlingsresultat!$E$5</f>
        <v>90962.01</v>
      </c>
      <c r="I61" s="8">
        <v>87886</v>
      </c>
      <c r="J61" s="32">
        <f>K61*Forhandlingsresultat!$E$5</f>
        <v>93026.834999999992</v>
      </c>
      <c r="K61" s="94">
        <v>89881</v>
      </c>
      <c r="L61" s="32">
        <f>M61*Forhandlingsresultat!$E$5</f>
        <v>93423.239999999991</v>
      </c>
      <c r="M61" s="8">
        <v>90264</v>
      </c>
    </row>
    <row r="62" spans="1:15" hidden="1" x14ac:dyDescent="0.25">
      <c r="A62" s="24" t="s">
        <v>15</v>
      </c>
      <c r="B62" s="38" t="s">
        <v>1</v>
      </c>
      <c r="C62" s="39" t="s">
        <v>1</v>
      </c>
      <c r="D62" s="38" t="s">
        <v>2</v>
      </c>
      <c r="E62" s="39" t="s">
        <v>2</v>
      </c>
      <c r="F62" s="38" t="s">
        <v>3</v>
      </c>
      <c r="G62" s="39" t="s">
        <v>3</v>
      </c>
      <c r="H62" s="38" t="s">
        <v>4</v>
      </c>
      <c r="I62" s="39" t="s">
        <v>4</v>
      </c>
      <c r="J62" s="38" t="s">
        <v>5</v>
      </c>
      <c r="K62" s="99" t="s">
        <v>5</v>
      </c>
    </row>
    <row r="63" spans="1:15" hidden="1" x14ac:dyDescent="0.25">
      <c r="A63" s="2" t="s">
        <v>0</v>
      </c>
      <c r="B63" s="32">
        <f>C63*Forhandlingsresultat!$E$5</f>
        <v>72799.829999999987</v>
      </c>
      <c r="C63" s="8">
        <v>70338</v>
      </c>
      <c r="D63" s="32">
        <f>E63*Forhandlingsresultat!$E$5</f>
        <v>74045.97</v>
      </c>
      <c r="E63" s="8">
        <v>71542</v>
      </c>
      <c r="F63" s="32">
        <f>G63*Forhandlingsresultat!$E$5</f>
        <v>75285.899999999994</v>
      </c>
      <c r="G63" s="8">
        <v>72740</v>
      </c>
      <c r="H63" s="32">
        <f>I63*Forhandlingsresultat!$E$5</f>
        <v>76579.649999999994</v>
      </c>
      <c r="I63" s="8">
        <v>73990</v>
      </c>
      <c r="J63" s="32">
        <f>K63*Forhandlingsresultat!$E$5</f>
        <v>78288.434999999998</v>
      </c>
      <c r="K63" s="94">
        <v>75641</v>
      </c>
      <c r="L63" s="44"/>
      <c r="M63" s="8"/>
    </row>
    <row r="64" spans="1:15" hidden="1" x14ac:dyDescent="0.25">
      <c r="A64" s="24" t="s">
        <v>16</v>
      </c>
      <c r="B64" s="38" t="s">
        <v>1</v>
      </c>
      <c r="C64" s="39" t="s">
        <v>1</v>
      </c>
      <c r="D64" s="38" t="s">
        <v>2</v>
      </c>
      <c r="E64" s="39" t="s">
        <v>2</v>
      </c>
      <c r="F64" s="38" t="s">
        <v>3</v>
      </c>
      <c r="G64" s="39" t="s">
        <v>3</v>
      </c>
      <c r="H64" s="38" t="s">
        <v>4</v>
      </c>
      <c r="I64" s="39" t="s">
        <v>4</v>
      </c>
      <c r="J64" s="38" t="s">
        <v>5</v>
      </c>
      <c r="K64" s="99" t="s">
        <v>5</v>
      </c>
    </row>
    <row r="65" spans="1:15" hidden="1" x14ac:dyDescent="0.25">
      <c r="A65" s="2" t="s">
        <v>0</v>
      </c>
      <c r="B65" s="32">
        <f>C65+Forhandlingsresultat!$E$3</f>
        <v>60686</v>
      </c>
      <c r="C65" s="8">
        <v>58436</v>
      </c>
      <c r="D65" s="32">
        <f>E65+Forhandlingsresultat!$E$3</f>
        <v>61839</v>
      </c>
      <c r="E65" s="8">
        <v>59589</v>
      </c>
      <c r="F65" s="32">
        <f>G65+Forhandlingsresultat!$E$3</f>
        <v>63014</v>
      </c>
      <c r="G65" s="8">
        <v>60764</v>
      </c>
      <c r="H65" s="32">
        <f>I65+Forhandlingsresultat!$E$3</f>
        <v>64223</v>
      </c>
      <c r="I65" s="8">
        <v>61973</v>
      </c>
      <c r="J65" s="32">
        <f>K65+Forhandlingsresultat!$E$3</f>
        <v>65455</v>
      </c>
      <c r="K65" s="94">
        <v>63205</v>
      </c>
      <c r="L65" s="44"/>
      <c r="M65" s="8"/>
    </row>
    <row r="66" spans="1:15" hidden="1" x14ac:dyDescent="0.25">
      <c r="A66" s="24" t="s">
        <v>17</v>
      </c>
      <c r="B66" s="38" t="s">
        <v>1</v>
      </c>
      <c r="C66" s="39" t="s">
        <v>1</v>
      </c>
      <c r="D66" s="38" t="s">
        <v>2</v>
      </c>
      <c r="E66" s="39" t="s">
        <v>2</v>
      </c>
      <c r="F66" s="38" t="s">
        <v>3</v>
      </c>
      <c r="G66" s="39" t="s">
        <v>3</v>
      </c>
      <c r="H66" s="38" t="s">
        <v>4</v>
      </c>
      <c r="I66" s="39" t="s">
        <v>4</v>
      </c>
      <c r="J66" s="38" t="s">
        <v>5</v>
      </c>
      <c r="K66" s="99" t="s">
        <v>5</v>
      </c>
      <c r="L66" s="36" t="s">
        <v>6</v>
      </c>
      <c r="M66" s="40" t="s">
        <v>6</v>
      </c>
    </row>
    <row r="67" spans="1:15" hidden="1" x14ac:dyDescent="0.25">
      <c r="A67" s="2" t="s">
        <v>0</v>
      </c>
      <c r="B67" s="32">
        <f>C67*Forhandlingsresultat!$E$5</f>
        <v>74649.375</v>
      </c>
      <c r="C67" s="8">
        <v>72125</v>
      </c>
      <c r="D67" s="31">
        <f>E67*Forhandlingsresultat!$E$5</f>
        <v>75983.489999999991</v>
      </c>
      <c r="E67" s="8">
        <v>73414</v>
      </c>
      <c r="F67" s="31">
        <f>G67*Forhandlingsresultat!$E$5</f>
        <v>77352.794999999998</v>
      </c>
      <c r="G67" s="8">
        <v>74737</v>
      </c>
      <c r="H67" s="32">
        <f>I67*Forhandlingsresultat!$E$5</f>
        <v>78711.75</v>
      </c>
      <c r="I67" s="8">
        <v>76050</v>
      </c>
      <c r="J67" s="32">
        <f>K67*Forhandlingsresultat!$E$5</f>
        <v>80495.054999999993</v>
      </c>
      <c r="K67" s="94">
        <v>77773</v>
      </c>
      <c r="L67" s="32">
        <f>M67*Forhandlingsresultat!$E$5</f>
        <v>80710.334999999992</v>
      </c>
      <c r="M67" s="8">
        <v>77981</v>
      </c>
    </row>
    <row r="68" spans="1:15" hidden="1" x14ac:dyDescent="0.25">
      <c r="A68" s="24" t="s">
        <v>18</v>
      </c>
      <c r="B68" s="38" t="s">
        <v>1</v>
      </c>
      <c r="C68" s="39" t="s">
        <v>1</v>
      </c>
      <c r="D68" s="38" t="s">
        <v>2</v>
      </c>
      <c r="E68" s="39" t="s">
        <v>2</v>
      </c>
      <c r="F68" s="38" t="s">
        <v>3</v>
      </c>
      <c r="G68" s="39" t="s">
        <v>3</v>
      </c>
      <c r="H68" s="38" t="s">
        <v>4</v>
      </c>
      <c r="I68" s="39" t="s">
        <v>4</v>
      </c>
      <c r="J68" s="38" t="s">
        <v>5</v>
      </c>
      <c r="K68" s="99" t="s">
        <v>5</v>
      </c>
    </row>
    <row r="69" spans="1:15" ht="15.75" hidden="1" thickBot="1" x14ac:dyDescent="0.3">
      <c r="A69" s="2" t="s">
        <v>0</v>
      </c>
      <c r="B69" s="32">
        <f>C69*Forhandlingsresultat!$E$5</f>
        <v>69004.485000000001</v>
      </c>
      <c r="C69" s="8">
        <v>66671</v>
      </c>
      <c r="D69" s="32">
        <f>E69*Forhandlingsresultat!$E$5</f>
        <v>70250.625</v>
      </c>
      <c r="E69" s="8">
        <v>67875</v>
      </c>
      <c r="F69" s="32">
        <f>G69*Forhandlingsresultat!$E$5</f>
        <v>71490.554999999993</v>
      </c>
      <c r="G69" s="8">
        <v>69073</v>
      </c>
      <c r="H69" s="32">
        <f>I69*Forhandlingsresultat!$E$5</f>
        <v>72784.304999999993</v>
      </c>
      <c r="I69" s="8">
        <v>70323</v>
      </c>
      <c r="J69" s="32">
        <f>K69*Forhandlingsresultat!$E$5</f>
        <v>74418.569999999992</v>
      </c>
      <c r="K69" s="94">
        <v>71902</v>
      </c>
      <c r="L69" s="44"/>
      <c r="M69" s="8"/>
    </row>
    <row r="70" spans="1:15" ht="19.5" thickBot="1" x14ac:dyDescent="0.35">
      <c r="A70" s="156" t="s">
        <v>111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8"/>
    </row>
    <row r="71" spans="1:15" x14ac:dyDescent="0.25">
      <c r="A71" s="35" t="s">
        <v>14</v>
      </c>
      <c r="B71" s="36" t="s">
        <v>1</v>
      </c>
      <c r="C71" s="41" t="s">
        <v>1</v>
      </c>
      <c r="D71" s="36" t="s">
        <v>2</v>
      </c>
      <c r="E71" s="42" t="s">
        <v>2</v>
      </c>
      <c r="F71" s="36" t="s">
        <v>3</v>
      </c>
      <c r="G71" s="41" t="s">
        <v>3</v>
      </c>
      <c r="H71" s="36" t="s">
        <v>4</v>
      </c>
      <c r="I71" s="41" t="s">
        <v>4</v>
      </c>
      <c r="J71" s="36" t="s">
        <v>5</v>
      </c>
      <c r="K71" s="100" t="s">
        <v>5</v>
      </c>
      <c r="L71" s="36" t="s">
        <v>6</v>
      </c>
      <c r="M71" s="37" t="s">
        <v>6</v>
      </c>
    </row>
    <row r="72" spans="1:15" x14ac:dyDescent="0.25">
      <c r="A72" s="2" t="s">
        <v>0</v>
      </c>
      <c r="B72" s="32">
        <f>C72*Forhandlingsresultat!$E$5</f>
        <v>87244.29</v>
      </c>
      <c r="C72" s="8">
        <v>84294</v>
      </c>
      <c r="D72" s="32">
        <f>E72*Forhandlingsresultat!$E$5</f>
        <v>88828.875</v>
      </c>
      <c r="E72" s="8">
        <v>85825</v>
      </c>
      <c r="F72" s="32">
        <f>G72*Forhandlingsresultat!$E$5</f>
        <v>90448.65</v>
      </c>
      <c r="G72" s="8">
        <v>87390</v>
      </c>
      <c r="H72" s="32">
        <f>I72*Forhandlingsresultat!$E$5</f>
        <v>92040.48</v>
      </c>
      <c r="I72" s="8">
        <v>88928</v>
      </c>
      <c r="J72" s="32">
        <f>K72*Forhandlingsresultat!$E$5</f>
        <v>94178.79</v>
      </c>
      <c r="K72" s="94">
        <v>90994</v>
      </c>
      <c r="L72" s="32">
        <f>M72*Forhandlingsresultat!$E$5</f>
        <v>94575.194999999992</v>
      </c>
      <c r="M72" s="8">
        <v>91377</v>
      </c>
    </row>
    <row r="73" spans="1:15" x14ac:dyDescent="0.25">
      <c r="A73" s="24" t="s">
        <v>15</v>
      </c>
      <c r="B73" s="25" t="s">
        <v>1</v>
      </c>
      <c r="C73" s="26" t="s">
        <v>1</v>
      </c>
      <c r="D73" s="25" t="s">
        <v>2</v>
      </c>
      <c r="E73" s="26" t="s">
        <v>2</v>
      </c>
      <c r="F73" s="25" t="s">
        <v>3</v>
      </c>
      <c r="G73" s="26" t="s">
        <v>3</v>
      </c>
      <c r="H73" s="25" t="s">
        <v>4</v>
      </c>
      <c r="I73" s="26" t="s">
        <v>4</v>
      </c>
      <c r="J73" s="25" t="s">
        <v>5</v>
      </c>
      <c r="K73" s="93" t="s">
        <v>5</v>
      </c>
      <c r="M73" s="45"/>
    </row>
    <row r="74" spans="1:15" x14ac:dyDescent="0.25">
      <c r="A74" s="2" t="s">
        <v>0</v>
      </c>
      <c r="B74" s="32">
        <f>C74*Forhandlingsresultat!$E$5</f>
        <v>73572.974999999991</v>
      </c>
      <c r="C74" s="8">
        <v>71085</v>
      </c>
      <c r="D74" s="32">
        <f>E74*Forhandlingsresultat!$E$5</f>
        <v>74865.689999999988</v>
      </c>
      <c r="E74" s="8">
        <v>72334</v>
      </c>
      <c r="F74" s="32">
        <f>G74*Forhandlingsresultat!$E$5</f>
        <v>76170.824999999997</v>
      </c>
      <c r="G74" s="8">
        <v>73595</v>
      </c>
      <c r="H74" s="32">
        <f>I74*Forhandlingsresultat!$E$5</f>
        <v>77461.47</v>
      </c>
      <c r="I74" s="8">
        <v>74842</v>
      </c>
      <c r="J74" s="32">
        <f>K74*Forhandlingsresultat!$E$5</f>
        <v>79256.159999999989</v>
      </c>
      <c r="K74" s="94">
        <v>76576</v>
      </c>
      <c r="M74" s="45"/>
    </row>
    <row r="75" spans="1:15" x14ac:dyDescent="0.25">
      <c r="A75" s="24" t="s">
        <v>16</v>
      </c>
      <c r="B75" s="25" t="s">
        <v>1</v>
      </c>
      <c r="C75" s="26" t="s">
        <v>1</v>
      </c>
      <c r="D75" s="25" t="s">
        <v>2</v>
      </c>
      <c r="E75" s="26" t="s">
        <v>2</v>
      </c>
      <c r="F75" s="25" t="s">
        <v>3</v>
      </c>
      <c r="G75" s="26" t="s">
        <v>3</v>
      </c>
      <c r="H75" s="25" t="s">
        <v>4</v>
      </c>
      <c r="I75" s="26" t="s">
        <v>4</v>
      </c>
      <c r="J75" s="25" t="s">
        <v>5</v>
      </c>
      <c r="K75" s="93" t="s">
        <v>5</v>
      </c>
      <c r="M75" s="45"/>
    </row>
    <row r="76" spans="1:15" x14ac:dyDescent="0.25">
      <c r="A76" s="2" t="s">
        <v>0</v>
      </c>
      <c r="B76" s="32">
        <f>C76+Forhandlingsresultat!$E$3</f>
        <v>65985</v>
      </c>
      <c r="C76" s="8">
        <v>63735</v>
      </c>
      <c r="D76" s="32">
        <f>E76*Forhandlingsresultat!$E$5</f>
        <v>67193.235000000001</v>
      </c>
      <c r="E76" s="8">
        <v>64921</v>
      </c>
      <c r="F76" s="32">
        <f>G76*Forhandlingsresultat!$E$5</f>
        <v>68444.549999999988</v>
      </c>
      <c r="G76" s="8">
        <v>66130</v>
      </c>
      <c r="H76" s="32">
        <f>I76*Forhandlingsresultat!$E$5</f>
        <v>69732.09</v>
      </c>
      <c r="I76" s="8">
        <v>67374</v>
      </c>
      <c r="J76" s="32">
        <f>K76*Forhandlingsresultat!$E$5</f>
        <v>71048.61</v>
      </c>
      <c r="K76" s="94">
        <v>68646</v>
      </c>
      <c r="L76" s="69"/>
      <c r="M76" s="45"/>
    </row>
    <row r="77" spans="1:15" x14ac:dyDescent="0.25">
      <c r="A77" s="24" t="s">
        <v>17</v>
      </c>
      <c r="B77" s="25" t="s">
        <v>1</v>
      </c>
      <c r="C77" s="26" t="s">
        <v>1</v>
      </c>
      <c r="D77" s="25" t="s">
        <v>2</v>
      </c>
      <c r="E77" s="26" t="s">
        <v>2</v>
      </c>
      <c r="F77" s="25" t="s">
        <v>3</v>
      </c>
      <c r="G77" s="26" t="s">
        <v>3</v>
      </c>
      <c r="H77" s="25" t="s">
        <v>4</v>
      </c>
      <c r="I77" s="26" t="s">
        <v>4</v>
      </c>
      <c r="J77" s="25" t="s">
        <v>5</v>
      </c>
      <c r="K77" s="93" t="s">
        <v>5</v>
      </c>
      <c r="L77" s="36" t="s">
        <v>6</v>
      </c>
      <c r="M77" s="41" t="s">
        <v>6</v>
      </c>
    </row>
    <row r="78" spans="1:15" x14ac:dyDescent="0.25">
      <c r="A78" s="2" t="s">
        <v>0</v>
      </c>
      <c r="B78" s="32">
        <f>C78*Forhandlingsresultat!$E$5</f>
        <v>79000.514999999999</v>
      </c>
      <c r="C78" s="8">
        <v>76329</v>
      </c>
      <c r="D78" s="32">
        <f>E78*Forhandlingsresultat!$E$5</f>
        <v>80441.235000000001</v>
      </c>
      <c r="E78" s="8">
        <v>77721</v>
      </c>
      <c r="F78" s="32">
        <f>G78*Forhandlingsresultat!$E$5</f>
        <v>81913.00499999999</v>
      </c>
      <c r="G78" s="8">
        <v>79143</v>
      </c>
      <c r="H78" s="32">
        <f>I78*Forhandlingsresultat!$E$5</f>
        <v>83359.934999999998</v>
      </c>
      <c r="I78" s="8">
        <v>80541</v>
      </c>
      <c r="J78" s="32">
        <f>K78*Forhandlingsresultat!$E$5</f>
        <v>85304.7</v>
      </c>
      <c r="K78" s="94">
        <v>82420</v>
      </c>
      <c r="L78" s="32">
        <f>M78*Forhandlingsresultat!$E$5</f>
        <v>85531.364999999991</v>
      </c>
      <c r="M78" s="8">
        <v>82639</v>
      </c>
    </row>
    <row r="79" spans="1:15" x14ac:dyDescent="0.25">
      <c r="A79" s="24" t="s">
        <v>18</v>
      </c>
      <c r="B79" s="25" t="s">
        <v>1</v>
      </c>
      <c r="C79" s="26" t="s">
        <v>1</v>
      </c>
      <c r="D79" s="25" t="s">
        <v>2</v>
      </c>
      <c r="E79" s="26" t="s">
        <v>2</v>
      </c>
      <c r="F79" s="25" t="s">
        <v>3</v>
      </c>
      <c r="G79" s="26" t="s">
        <v>3</v>
      </c>
      <c r="H79" s="25" t="s">
        <v>4</v>
      </c>
      <c r="I79" s="26" t="s">
        <v>4</v>
      </c>
      <c r="J79" s="25" t="s">
        <v>5</v>
      </c>
      <c r="K79" s="93" t="s">
        <v>5</v>
      </c>
      <c r="M79" s="45"/>
    </row>
    <row r="80" spans="1:15" x14ac:dyDescent="0.25">
      <c r="A80" s="2" t="s">
        <v>0</v>
      </c>
      <c r="B80" s="32">
        <f>C80*Forhandlingsresultat!$E$5</f>
        <v>73572.974999999991</v>
      </c>
      <c r="C80" s="8">
        <v>71085</v>
      </c>
      <c r="D80" s="32">
        <f>E80*Forhandlingsresultat!$E$5</f>
        <v>74865.689999999988</v>
      </c>
      <c r="E80" s="8">
        <v>72334</v>
      </c>
      <c r="F80" s="32">
        <f>G80*Forhandlingsresultat!$E$5</f>
        <v>76170.824999999997</v>
      </c>
      <c r="G80" s="8">
        <v>73595</v>
      </c>
      <c r="H80" s="32">
        <f>I80*Forhandlingsresultat!$E$5</f>
        <v>77461.47</v>
      </c>
      <c r="I80" s="8">
        <v>74842</v>
      </c>
      <c r="J80" s="32">
        <f>K80*Forhandlingsresultat!$E$5</f>
        <v>79256.159999999989</v>
      </c>
      <c r="K80" s="94">
        <v>76576</v>
      </c>
      <c r="M80" s="45"/>
    </row>
    <row r="81" spans="1:15" x14ac:dyDescent="0.25">
      <c r="A81" s="24" t="s">
        <v>20</v>
      </c>
      <c r="B81" s="25" t="s">
        <v>1</v>
      </c>
      <c r="C81" s="26" t="s">
        <v>1</v>
      </c>
      <c r="D81" s="25" t="s">
        <v>2</v>
      </c>
      <c r="E81" s="26" t="s">
        <v>2</v>
      </c>
      <c r="F81" s="25" t="s">
        <v>3</v>
      </c>
      <c r="G81" s="26" t="s">
        <v>3</v>
      </c>
      <c r="H81" s="25" t="s">
        <v>4</v>
      </c>
      <c r="I81" s="26" t="s">
        <v>4</v>
      </c>
      <c r="J81" s="25" t="s">
        <v>5</v>
      </c>
      <c r="K81" s="92" t="s">
        <v>5</v>
      </c>
      <c r="L81" s="25" t="s">
        <v>6</v>
      </c>
      <c r="M81" s="26" t="s">
        <v>6</v>
      </c>
      <c r="N81" s="25" t="s">
        <v>9</v>
      </c>
      <c r="O81" s="26" t="s">
        <v>9</v>
      </c>
    </row>
    <row r="82" spans="1:15" x14ac:dyDescent="0.25">
      <c r="A82" s="2" t="s">
        <v>0</v>
      </c>
      <c r="B82" s="32">
        <f>C82+Forhandlingsresultat!$E$4</f>
        <v>63886</v>
      </c>
      <c r="C82" s="8">
        <v>63886</v>
      </c>
      <c r="D82" s="32">
        <f>E82+Forhandlingsresultat!$E$4</f>
        <v>64696</v>
      </c>
      <c r="E82" s="8">
        <v>64696</v>
      </c>
      <c r="F82" s="32">
        <f>G82+Forhandlingsresultat!$E$4</f>
        <v>65734</v>
      </c>
      <c r="G82" s="8">
        <v>65734</v>
      </c>
      <c r="H82" s="32">
        <f>I82+Forhandlingsresultat!$E$4</f>
        <v>67714</v>
      </c>
      <c r="I82" s="8">
        <v>67714</v>
      </c>
      <c r="J82" s="32">
        <f>K82+Forhandlingsresultat!$E$4</f>
        <v>70036</v>
      </c>
      <c r="K82" s="94">
        <v>70036</v>
      </c>
      <c r="L82" s="32">
        <f>M82+Forhandlingsresultat!$E$4</f>
        <v>70891</v>
      </c>
      <c r="M82" s="8">
        <v>70891</v>
      </c>
      <c r="N82" s="32">
        <f>O82+Forhandlingsresultat!$E$4</f>
        <v>71964</v>
      </c>
      <c r="O82" s="8">
        <v>71964</v>
      </c>
    </row>
    <row r="83" spans="1:15" x14ac:dyDescent="0.25">
      <c r="A83" s="24" t="s">
        <v>21</v>
      </c>
      <c r="B83" s="25" t="s">
        <v>1</v>
      </c>
      <c r="C83" s="26" t="s">
        <v>1</v>
      </c>
      <c r="D83" s="25" t="s">
        <v>2</v>
      </c>
      <c r="E83" s="26" t="s">
        <v>2</v>
      </c>
      <c r="F83" s="25" t="s">
        <v>3</v>
      </c>
      <c r="G83" s="26" t="s">
        <v>3</v>
      </c>
      <c r="H83" s="25" t="s">
        <v>4</v>
      </c>
      <c r="I83" s="26" t="s">
        <v>4</v>
      </c>
      <c r="J83" s="25" t="s">
        <v>5</v>
      </c>
      <c r="K83" s="92" t="s">
        <v>5</v>
      </c>
      <c r="L83" s="25" t="s">
        <v>6</v>
      </c>
      <c r="M83" s="26" t="s">
        <v>6</v>
      </c>
      <c r="N83" s="25" t="s">
        <v>9</v>
      </c>
      <c r="O83" s="26" t="s">
        <v>9</v>
      </c>
    </row>
    <row r="84" spans="1:15" ht="15.75" thickBot="1" x14ac:dyDescent="0.3">
      <c r="A84" s="2" t="s">
        <v>0</v>
      </c>
      <c r="B84" s="32">
        <f>C84*Forhandlingsresultat!$E$5</f>
        <v>66828.914999999994</v>
      </c>
      <c r="C84" s="8">
        <v>64569</v>
      </c>
      <c r="D84" s="32">
        <f>E84*Forhandlingsresultat!$E$5</f>
        <v>67667.264999999999</v>
      </c>
      <c r="E84" s="8">
        <v>65379</v>
      </c>
      <c r="F84" s="32">
        <f>G84*Forhandlingsresultat!$E$5</f>
        <v>68741.595000000001</v>
      </c>
      <c r="G84" s="8">
        <v>66417</v>
      </c>
      <c r="H84" s="32">
        <f>I84*Forhandlingsresultat!$E$5</f>
        <v>70789.86</v>
      </c>
      <c r="I84" s="8">
        <v>68396</v>
      </c>
      <c r="J84" s="32">
        <f>K84*Forhandlingsresultat!$E$5</f>
        <v>73193.12999999999</v>
      </c>
      <c r="K84" s="94">
        <v>70718</v>
      </c>
      <c r="L84" s="32">
        <f>M84*Forhandlingsresultat!$E$5</f>
        <v>74079.09</v>
      </c>
      <c r="M84" s="8">
        <v>71574</v>
      </c>
      <c r="N84" s="32">
        <f>O84*Forhandlingsresultat!$E$5</f>
        <v>75188.61</v>
      </c>
      <c r="O84" s="8">
        <v>72646</v>
      </c>
    </row>
    <row r="85" spans="1:15" ht="19.5" thickBot="1" x14ac:dyDescent="0.35">
      <c r="A85" s="156" t="s">
        <v>10</v>
      </c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8"/>
    </row>
    <row r="86" spans="1:15" x14ac:dyDescent="0.25">
      <c r="A86" s="35" t="s">
        <v>14</v>
      </c>
      <c r="B86" s="36" t="s">
        <v>1</v>
      </c>
      <c r="C86" s="41" t="s">
        <v>1</v>
      </c>
      <c r="D86" s="36" t="s">
        <v>2</v>
      </c>
      <c r="E86" s="41" t="s">
        <v>2</v>
      </c>
      <c r="F86" s="36" t="s">
        <v>3</v>
      </c>
      <c r="G86" s="41" t="s">
        <v>3</v>
      </c>
      <c r="H86" s="36" t="s">
        <v>4</v>
      </c>
      <c r="I86" s="41" t="s">
        <v>4</v>
      </c>
      <c r="J86" s="36" t="s">
        <v>5</v>
      </c>
      <c r="K86" s="100" t="s">
        <v>5</v>
      </c>
      <c r="L86" s="36" t="s">
        <v>6</v>
      </c>
      <c r="M86" s="37" t="s">
        <v>6</v>
      </c>
    </row>
    <row r="87" spans="1:15" x14ac:dyDescent="0.25">
      <c r="A87" s="2" t="s">
        <v>0</v>
      </c>
      <c r="B87" s="32">
        <f>C87*Forhandlingsresultat!$E$5</f>
        <v>89593.739999999991</v>
      </c>
      <c r="C87" s="8">
        <v>86564</v>
      </c>
      <c r="D87" s="32">
        <f>E87*Forhandlingsresultat!$E$5</f>
        <v>91226.969999999987</v>
      </c>
      <c r="E87" s="8">
        <v>88142</v>
      </c>
      <c r="F87" s="32">
        <f>G87*Forhandlingsresultat!$E$5</f>
        <v>92901.599999999991</v>
      </c>
      <c r="G87" s="8">
        <v>89760</v>
      </c>
      <c r="H87" s="32">
        <f>I87*Forhandlingsresultat!$E$5</f>
        <v>94540.00499999999</v>
      </c>
      <c r="I87" s="8">
        <v>91343</v>
      </c>
      <c r="J87" s="32">
        <f>K87*Forhandlingsresultat!$E$5</f>
        <v>96740.414999999994</v>
      </c>
      <c r="K87" s="94">
        <v>93469</v>
      </c>
      <c r="L87" s="32">
        <f>M87*Forhandlingsresultat!$E$5</f>
        <v>97136.819999999992</v>
      </c>
      <c r="M87" s="8">
        <v>93852</v>
      </c>
    </row>
    <row r="88" spans="1:15" x14ac:dyDescent="0.25">
      <c r="A88" s="24" t="s">
        <v>15</v>
      </c>
      <c r="B88" s="25" t="s">
        <v>1</v>
      </c>
      <c r="C88" s="26" t="s">
        <v>1</v>
      </c>
      <c r="D88" s="25" t="s">
        <v>2</v>
      </c>
      <c r="E88" s="26" t="s">
        <v>2</v>
      </c>
      <c r="F88" s="25" t="s">
        <v>3</v>
      </c>
      <c r="G88" s="26" t="s">
        <v>3</v>
      </c>
      <c r="H88" s="25" t="s">
        <v>4</v>
      </c>
      <c r="I88" s="26" t="s">
        <v>4</v>
      </c>
      <c r="J88" s="25" t="s">
        <v>5</v>
      </c>
      <c r="K88" s="93" t="s">
        <v>5</v>
      </c>
      <c r="M88" s="45"/>
    </row>
    <row r="89" spans="1:15" x14ac:dyDescent="0.25">
      <c r="A89" s="2" t="s">
        <v>0</v>
      </c>
      <c r="B89" s="32">
        <f>C89*Forhandlingsresultat!$E$5</f>
        <v>74915.37</v>
      </c>
      <c r="C89" s="8">
        <v>72382</v>
      </c>
      <c r="D89" s="32">
        <f>E89*Forhandlingsresultat!$E$5</f>
        <v>76348.845000000001</v>
      </c>
      <c r="E89" s="8">
        <v>73767</v>
      </c>
      <c r="F89" s="32">
        <f>G89*Forhandlingsresultat!$E$5</f>
        <v>77845.454999999987</v>
      </c>
      <c r="G89" s="8">
        <v>75213</v>
      </c>
      <c r="H89" s="32">
        <f>I89*Forhandlingsresultat!$E$5</f>
        <v>79396.92</v>
      </c>
      <c r="I89" s="8">
        <v>76712</v>
      </c>
      <c r="J89" s="32">
        <f>K89*Forhandlingsresultat!$E$5</f>
        <v>80985.64499999999</v>
      </c>
      <c r="K89" s="94">
        <v>78247</v>
      </c>
      <c r="M89" s="45"/>
    </row>
    <row r="90" spans="1:15" x14ac:dyDescent="0.25">
      <c r="A90" s="24" t="s">
        <v>16</v>
      </c>
      <c r="B90" s="25" t="s">
        <v>1</v>
      </c>
      <c r="C90" s="26" t="s">
        <v>1</v>
      </c>
      <c r="D90" s="25" t="s">
        <v>2</v>
      </c>
      <c r="E90" s="26" t="s">
        <v>2</v>
      </c>
      <c r="F90" s="25" t="s">
        <v>3</v>
      </c>
      <c r="G90" s="26" t="s">
        <v>3</v>
      </c>
      <c r="H90" s="25" t="s">
        <v>4</v>
      </c>
      <c r="I90" s="26" t="s">
        <v>4</v>
      </c>
      <c r="J90" s="25" t="s">
        <v>5</v>
      </c>
      <c r="K90" s="93" t="s">
        <v>5</v>
      </c>
      <c r="M90" s="45"/>
    </row>
    <row r="91" spans="1:15" x14ac:dyDescent="0.25">
      <c r="A91" s="2" t="s">
        <v>0</v>
      </c>
      <c r="B91" s="32">
        <f>C91*Forhandlingsresultat!$E$5</f>
        <v>67559.625</v>
      </c>
      <c r="C91" s="8">
        <v>65275</v>
      </c>
      <c r="D91" s="32">
        <f>E91*Forhandlingsresultat!$E$5</f>
        <v>68828.534999999989</v>
      </c>
      <c r="E91" s="8">
        <v>66501</v>
      </c>
      <c r="F91" s="32">
        <f>G91*Forhandlingsresultat!$E$5</f>
        <v>70116.074999999997</v>
      </c>
      <c r="G91" s="8">
        <v>67745</v>
      </c>
      <c r="H91" s="32">
        <f>I91*Forhandlingsresultat!$E$5</f>
        <v>71438.804999999993</v>
      </c>
      <c r="I91" s="8">
        <v>69023</v>
      </c>
      <c r="J91" s="32">
        <f>K91*Forhandlingsresultat!$E$5</f>
        <v>72785.34</v>
      </c>
      <c r="K91" s="94">
        <v>70324</v>
      </c>
      <c r="L91" s="69"/>
      <c r="M91" s="46"/>
    </row>
    <row r="92" spans="1:15" x14ac:dyDescent="0.25">
      <c r="A92" s="24" t="s">
        <v>17</v>
      </c>
      <c r="B92" s="25" t="s">
        <v>1</v>
      </c>
      <c r="C92" s="26" t="s">
        <v>1</v>
      </c>
      <c r="D92" s="25" t="s">
        <v>2</v>
      </c>
      <c r="E92" s="26" t="s">
        <v>2</v>
      </c>
      <c r="F92" s="25" t="s">
        <v>3</v>
      </c>
      <c r="G92" s="26" t="s">
        <v>3</v>
      </c>
      <c r="H92" s="25" t="s">
        <v>4</v>
      </c>
      <c r="I92" s="26" t="s">
        <v>4</v>
      </c>
      <c r="J92" s="25" t="s">
        <v>5</v>
      </c>
      <c r="K92" s="93" t="s">
        <v>5</v>
      </c>
      <c r="L92" s="36" t="s">
        <v>6</v>
      </c>
      <c r="M92" s="41" t="s">
        <v>6</v>
      </c>
    </row>
    <row r="93" spans="1:15" x14ac:dyDescent="0.25">
      <c r="A93" s="2" t="s">
        <v>0</v>
      </c>
      <c r="B93" s="32">
        <f>C93*Forhandlingsresultat!$E$5</f>
        <v>81559.034999999989</v>
      </c>
      <c r="C93" s="8">
        <v>78801</v>
      </c>
      <c r="D93" s="32">
        <f>E93*Forhandlingsresultat!$E$5</f>
        <v>83044.259999999995</v>
      </c>
      <c r="E93" s="8">
        <v>80236</v>
      </c>
      <c r="F93" s="32">
        <f>G93*Forhandlingsresultat!$E$5</f>
        <v>84565.709999999992</v>
      </c>
      <c r="G93" s="8">
        <v>81706</v>
      </c>
      <c r="H93" s="32">
        <f>I93*Forhandlingsresultat!$E$5</f>
        <v>86057.14499999999</v>
      </c>
      <c r="I93" s="8">
        <v>83147</v>
      </c>
      <c r="J93" s="32">
        <f>K93*Forhandlingsresultat!$E$5</f>
        <v>88055.73</v>
      </c>
      <c r="K93" s="94">
        <v>85078</v>
      </c>
      <c r="L93" s="32">
        <f>M93*Forhandlingsresultat!$E$5</f>
        <v>88282.39499999999</v>
      </c>
      <c r="M93" s="8">
        <v>85297</v>
      </c>
      <c r="O93" s="91"/>
    </row>
    <row r="94" spans="1:15" x14ac:dyDescent="0.25">
      <c r="A94" s="24" t="s">
        <v>18</v>
      </c>
      <c r="B94" s="25" t="s">
        <v>1</v>
      </c>
      <c r="C94" s="26" t="s">
        <v>1</v>
      </c>
      <c r="D94" s="25" t="s">
        <v>2</v>
      </c>
      <c r="E94" s="26" t="s">
        <v>2</v>
      </c>
      <c r="F94" s="25" t="s">
        <v>3</v>
      </c>
      <c r="G94" s="26" t="s">
        <v>3</v>
      </c>
      <c r="H94" s="25" t="s">
        <v>4</v>
      </c>
      <c r="I94" s="26" t="s">
        <v>4</v>
      </c>
      <c r="J94" s="25" t="s">
        <v>5</v>
      </c>
      <c r="K94" s="93" t="s">
        <v>5</v>
      </c>
      <c r="M94" s="45"/>
    </row>
    <row r="95" spans="1:15" x14ac:dyDescent="0.25">
      <c r="A95" s="2" t="s">
        <v>0</v>
      </c>
      <c r="B95" s="32">
        <f>C95*Forhandlingsresultat!$E$5</f>
        <v>73667.159999999989</v>
      </c>
      <c r="C95" s="8">
        <v>71176</v>
      </c>
      <c r="D95" s="32">
        <f>E95*Forhandlingsresultat!$E$5</f>
        <v>75007.485000000001</v>
      </c>
      <c r="E95" s="8">
        <v>72471</v>
      </c>
      <c r="F95" s="32">
        <f>G95*Forhandlingsresultat!$E$5</f>
        <v>76341.599999999991</v>
      </c>
      <c r="G95" s="8">
        <v>73760</v>
      </c>
      <c r="H95" s="32">
        <f>I95*Forhandlingsresultat!$E$5</f>
        <v>77667.434999999998</v>
      </c>
      <c r="I95" s="8">
        <v>75041</v>
      </c>
      <c r="J95" s="32">
        <f>K95*Forhandlingsresultat!$E$5</f>
        <v>79525.259999999995</v>
      </c>
      <c r="K95" s="94">
        <v>76836</v>
      </c>
      <c r="M95" s="45"/>
    </row>
    <row r="96" spans="1:15" x14ac:dyDescent="0.25">
      <c r="A96" s="24" t="s">
        <v>55</v>
      </c>
      <c r="B96" s="25" t="s">
        <v>1</v>
      </c>
      <c r="C96" s="26" t="s">
        <v>1</v>
      </c>
      <c r="D96" s="25" t="s">
        <v>2</v>
      </c>
      <c r="E96" s="26" t="s">
        <v>2</v>
      </c>
      <c r="F96" s="25" t="s">
        <v>3</v>
      </c>
      <c r="G96" s="26" t="s">
        <v>3</v>
      </c>
      <c r="H96" s="25" t="s">
        <v>4</v>
      </c>
      <c r="I96" s="26" t="s">
        <v>4</v>
      </c>
      <c r="J96" s="25" t="s">
        <v>5</v>
      </c>
      <c r="K96" s="93" t="s">
        <v>5</v>
      </c>
      <c r="M96" s="45"/>
    </row>
    <row r="97" spans="1:16" x14ac:dyDescent="0.25">
      <c r="A97" s="2" t="s">
        <v>0</v>
      </c>
      <c r="B97" s="32">
        <f>C97*Forhandlingsresultat!$E$5</f>
        <v>68429.024999999994</v>
      </c>
      <c r="C97" s="8">
        <v>66115</v>
      </c>
      <c r="D97" s="32">
        <f>E97*Forhandlingsresultat!$E$5</f>
        <v>69268.409999999989</v>
      </c>
      <c r="E97" s="8">
        <v>66926</v>
      </c>
      <c r="F97" s="32">
        <f>G97*Forhandlingsresultat!$E$5</f>
        <v>70342.739999999991</v>
      </c>
      <c r="G97" s="8">
        <v>67964</v>
      </c>
      <c r="H97" s="32">
        <f>I97*Forhandlingsresultat!$E$5</f>
        <v>72392.039999999994</v>
      </c>
      <c r="I97" s="8">
        <v>69944</v>
      </c>
      <c r="J97" s="32">
        <f>K97*Forhandlingsresultat!$E$5</f>
        <v>74795.31</v>
      </c>
      <c r="K97" s="94">
        <v>72266</v>
      </c>
      <c r="M97" s="45"/>
    </row>
    <row r="98" spans="1:16" x14ac:dyDescent="0.25">
      <c r="A98" s="24" t="s">
        <v>21</v>
      </c>
      <c r="B98" s="25" t="s">
        <v>1</v>
      </c>
      <c r="C98" s="26" t="s">
        <v>1</v>
      </c>
      <c r="D98" s="25" t="s">
        <v>2</v>
      </c>
      <c r="E98" s="26" t="s">
        <v>2</v>
      </c>
      <c r="F98" s="25" t="s">
        <v>3</v>
      </c>
      <c r="G98" s="26" t="s">
        <v>3</v>
      </c>
      <c r="H98" s="25" t="s">
        <v>4</v>
      </c>
      <c r="I98" s="26" t="s">
        <v>4</v>
      </c>
      <c r="J98" s="25" t="s">
        <v>5</v>
      </c>
      <c r="K98" s="92" t="s">
        <v>5</v>
      </c>
      <c r="L98" s="25" t="s">
        <v>6</v>
      </c>
      <c r="M98" s="26" t="s">
        <v>6</v>
      </c>
      <c r="N98" s="25" t="s">
        <v>9</v>
      </c>
      <c r="O98" s="33" t="s">
        <v>9</v>
      </c>
    </row>
    <row r="99" spans="1:16" ht="15.75" thickBot="1" x14ac:dyDescent="0.3">
      <c r="A99" s="2" t="s">
        <v>0</v>
      </c>
      <c r="B99" s="32">
        <f>C99*Forhandlingsresultat!$E$5</f>
        <v>68429.024999999994</v>
      </c>
      <c r="C99" s="8">
        <v>66115</v>
      </c>
      <c r="D99" s="32">
        <f>E99*Forhandlingsresultat!$E$5</f>
        <v>69284.97</v>
      </c>
      <c r="E99" s="8">
        <v>66942</v>
      </c>
      <c r="F99" s="32">
        <f>G99*Forhandlingsresultat!$E$5</f>
        <v>70389.314999999988</v>
      </c>
      <c r="G99" s="8">
        <v>68009</v>
      </c>
      <c r="H99" s="32">
        <f>I99*Forhandlingsresultat!$E$5</f>
        <v>72502.784999999989</v>
      </c>
      <c r="I99" s="8">
        <v>70051</v>
      </c>
      <c r="J99" s="32">
        <f>K99*Forhandlingsresultat!$E$5</f>
        <v>74982.64499999999</v>
      </c>
      <c r="K99" s="94">
        <v>72447</v>
      </c>
      <c r="L99" s="32">
        <f>M99*Forhandlingsresultat!$E$5</f>
        <v>75856.184999999998</v>
      </c>
      <c r="M99" s="8">
        <v>73291</v>
      </c>
      <c r="N99" s="32">
        <f>O99*Forhandlingsresultat!$E$5</f>
        <v>77045.399999999994</v>
      </c>
      <c r="O99" s="8">
        <v>74440</v>
      </c>
      <c r="P99" s="27"/>
    </row>
    <row r="100" spans="1:16" ht="19.5" thickBot="1" x14ac:dyDescent="0.35">
      <c r="A100" s="65" t="s">
        <v>84</v>
      </c>
      <c r="B100" s="21"/>
      <c r="C100" s="21"/>
      <c r="D100" s="21"/>
      <c r="E100" s="22"/>
      <c r="F100" s="21"/>
      <c r="G100" s="22"/>
      <c r="H100" s="21"/>
      <c r="I100" s="22"/>
      <c r="J100" s="21"/>
      <c r="K100" s="101"/>
      <c r="L100" s="21"/>
      <c r="M100" s="22"/>
      <c r="N100" s="21"/>
      <c r="O100" s="23"/>
      <c r="P100" s="1"/>
    </row>
    <row r="101" spans="1:16" ht="18.75" x14ac:dyDescent="0.3">
      <c r="A101" s="59" t="s">
        <v>66</v>
      </c>
      <c r="B101" s="25" t="s">
        <v>1</v>
      </c>
      <c r="C101" s="26" t="s">
        <v>1</v>
      </c>
      <c r="D101" s="25" t="s">
        <v>2</v>
      </c>
      <c r="E101" s="26" t="s">
        <v>2</v>
      </c>
      <c r="F101" s="25" t="s">
        <v>3</v>
      </c>
      <c r="G101" s="26" t="s">
        <v>3</v>
      </c>
      <c r="H101" s="25" t="s">
        <v>4</v>
      </c>
      <c r="I101" s="26" t="s">
        <v>4</v>
      </c>
      <c r="J101" s="25" t="s">
        <v>5</v>
      </c>
      <c r="K101" s="92" t="s">
        <v>5</v>
      </c>
      <c r="L101" s="31"/>
      <c r="M101" s="8"/>
      <c r="N101" s="31"/>
      <c r="O101" s="8"/>
      <c r="P101" s="1"/>
    </row>
    <row r="102" spans="1:16" ht="19.5" thickBot="1" x14ac:dyDescent="0.35">
      <c r="A102" s="89" t="s">
        <v>0</v>
      </c>
      <c r="B102" s="32">
        <f>C102*Forhandlingsresultat!$E$5</f>
        <v>66595.00499999999</v>
      </c>
      <c r="C102" s="8">
        <v>64343</v>
      </c>
      <c r="D102" s="32">
        <f>E102*Forhandlingsresultat!$E$5</f>
        <v>67653.81</v>
      </c>
      <c r="E102" s="8">
        <v>65366</v>
      </c>
      <c r="F102" s="32">
        <f>G102*Forhandlingsresultat!$E$5</f>
        <v>68941.349999999991</v>
      </c>
      <c r="G102" s="8">
        <v>66610</v>
      </c>
      <c r="H102" s="32">
        <f>I102*Forhandlingsresultat!$E$5</f>
        <v>70689.464999999997</v>
      </c>
      <c r="I102" s="8">
        <v>68299</v>
      </c>
      <c r="J102" s="32">
        <f>K102*Forhandlingsresultat!$E$5</f>
        <v>72909.539999999994</v>
      </c>
      <c r="K102" s="94">
        <v>70444</v>
      </c>
      <c r="L102" s="31"/>
      <c r="M102" s="8"/>
      <c r="N102" s="31"/>
      <c r="O102" s="8"/>
      <c r="P102" s="1"/>
    </row>
    <row r="103" spans="1:16" ht="19.5" thickBot="1" x14ac:dyDescent="0.35">
      <c r="A103" s="65" t="s">
        <v>49</v>
      </c>
      <c r="B103" s="21"/>
      <c r="C103" s="21"/>
      <c r="D103" s="21"/>
      <c r="E103" s="22"/>
      <c r="F103" s="21"/>
      <c r="G103" s="22"/>
      <c r="H103" s="21"/>
      <c r="I103" s="22"/>
      <c r="J103" s="21"/>
      <c r="K103" s="101"/>
      <c r="L103" s="21"/>
      <c r="M103" s="22"/>
      <c r="N103" s="23"/>
      <c r="O103" s="23"/>
      <c r="P103" s="1"/>
    </row>
    <row r="104" spans="1:16" x14ac:dyDescent="0.25">
      <c r="A104" s="35" t="s">
        <v>11</v>
      </c>
      <c r="B104" s="36" t="s">
        <v>1</v>
      </c>
      <c r="C104" s="41" t="s">
        <v>1</v>
      </c>
      <c r="D104" s="36" t="s">
        <v>2</v>
      </c>
      <c r="E104" s="41" t="s">
        <v>2</v>
      </c>
      <c r="F104" s="36" t="s">
        <v>3</v>
      </c>
      <c r="G104" s="41" t="s">
        <v>3</v>
      </c>
      <c r="H104" s="36" t="s">
        <v>4</v>
      </c>
      <c r="I104" s="41" t="s">
        <v>4</v>
      </c>
      <c r="J104" s="36" t="s">
        <v>5</v>
      </c>
      <c r="K104" s="100" t="s">
        <v>5</v>
      </c>
      <c r="L104" s="36" t="s">
        <v>6</v>
      </c>
      <c r="M104" s="41" t="s">
        <v>6</v>
      </c>
      <c r="N104" s="36" t="s">
        <v>9</v>
      </c>
      <c r="O104" s="37" t="s">
        <v>9</v>
      </c>
    </row>
    <row r="105" spans="1:16" x14ac:dyDescent="0.25">
      <c r="A105" s="2" t="s">
        <v>0</v>
      </c>
      <c r="B105" s="32">
        <f>C105*Forhandlingsresultat!$E$5</f>
        <v>61088.804999999993</v>
      </c>
      <c r="C105" s="8">
        <v>59023</v>
      </c>
      <c r="D105" s="32">
        <f>E105*Forhandlingsresultat!$E$5</f>
        <v>61675.649999999994</v>
      </c>
      <c r="E105" s="8">
        <v>59590</v>
      </c>
      <c r="F105" s="32">
        <f>G105*Forhandlingsresultat!$E$5</f>
        <v>61972.694999999992</v>
      </c>
      <c r="G105" s="8">
        <v>59877</v>
      </c>
      <c r="H105" s="32">
        <f>I105*Forhandlingsresultat!$E$5</f>
        <v>63258.164999999994</v>
      </c>
      <c r="I105" s="8">
        <v>61119</v>
      </c>
      <c r="J105" s="32">
        <f>K105*Forhandlingsresultat!$E$5</f>
        <v>64814.804999999993</v>
      </c>
      <c r="K105" s="94">
        <v>62623</v>
      </c>
      <c r="L105" s="32">
        <f>M105*Forhandlingsresultat!$E$5</f>
        <v>65775.284999999989</v>
      </c>
      <c r="M105" s="8">
        <v>63551</v>
      </c>
      <c r="N105" s="32">
        <f>O105*Forhandlingsresultat!$E$5</f>
        <v>66791.654999999999</v>
      </c>
      <c r="O105" s="8">
        <v>64533</v>
      </c>
    </row>
    <row r="106" spans="1:16" x14ac:dyDescent="0.25">
      <c r="A106" s="2" t="s">
        <v>51</v>
      </c>
      <c r="B106" s="80">
        <f>B105/1.797</f>
        <v>33994.88313856427</v>
      </c>
      <c r="C106" s="80"/>
      <c r="D106" s="80">
        <f>D105/1.797</f>
        <v>34321.452420701164</v>
      </c>
      <c r="E106" s="31"/>
      <c r="F106" s="80">
        <f>F105/1.797</f>
        <v>34486.752921535888</v>
      </c>
      <c r="G106" s="80"/>
      <c r="H106" s="80">
        <f>H105/1.797</f>
        <v>35202.095158597658</v>
      </c>
      <c r="I106" s="31"/>
      <c r="J106" s="80">
        <f>J105/1.797</f>
        <v>36068.338898163602</v>
      </c>
      <c r="K106" s="102"/>
      <c r="L106" s="80">
        <f>L105/1.797</f>
        <v>36602.82971619365</v>
      </c>
      <c r="M106" s="80"/>
      <c r="N106" s="80">
        <f>N105/1.797</f>
        <v>37168.4223706177</v>
      </c>
      <c r="O106" s="80"/>
    </row>
    <row r="107" spans="1:16" x14ac:dyDescent="0.25">
      <c r="A107" s="27" t="s">
        <v>7</v>
      </c>
      <c r="B107" s="31">
        <f>B105*4.5/100</f>
        <v>2748.9962249999994</v>
      </c>
      <c r="C107" s="8"/>
      <c r="D107" s="31">
        <f>D105*4.5/100</f>
        <v>2775.40425</v>
      </c>
      <c r="E107" s="8"/>
      <c r="F107" s="31">
        <f>F105*4.5/100</f>
        <v>2788.7712749999996</v>
      </c>
      <c r="G107" s="8"/>
      <c r="H107" s="31">
        <f>H105*4.5/100</f>
        <v>2846.6174249999999</v>
      </c>
      <c r="I107" s="8"/>
      <c r="J107" s="31">
        <f>J105*4.5/100</f>
        <v>2916.6662249999995</v>
      </c>
      <c r="K107" s="94"/>
      <c r="L107" s="31">
        <f>L105*4.5/100</f>
        <v>2959.8878249999998</v>
      </c>
      <c r="M107" s="8"/>
      <c r="N107" s="31">
        <f>N105*4.5/100</f>
        <v>3005.6244750000001</v>
      </c>
      <c r="O107" s="8"/>
    </row>
    <row r="108" spans="1:16" x14ac:dyDescent="0.25">
      <c r="A108" s="27" t="s">
        <v>8</v>
      </c>
      <c r="B108" s="31">
        <f>$D$208</f>
        <v>205.8408</v>
      </c>
      <c r="C108" s="31"/>
      <c r="D108" s="31">
        <f>$D$208</f>
        <v>205.8408</v>
      </c>
      <c r="E108" s="31"/>
      <c r="F108" s="31">
        <f>$D$208</f>
        <v>205.8408</v>
      </c>
      <c r="G108" s="31"/>
      <c r="H108" s="31">
        <f>$D$208</f>
        <v>205.8408</v>
      </c>
      <c r="I108" s="31"/>
      <c r="J108" s="31">
        <f>$D$208</f>
        <v>205.8408</v>
      </c>
      <c r="K108" s="102"/>
      <c r="L108" s="31">
        <f>$D$208</f>
        <v>205.8408</v>
      </c>
      <c r="M108" s="31"/>
      <c r="N108" s="31">
        <f>$D$208</f>
        <v>205.8408</v>
      </c>
      <c r="O108" s="8"/>
    </row>
    <row r="109" spans="1:16" x14ac:dyDescent="0.25">
      <c r="A109" s="27" t="s">
        <v>19</v>
      </c>
      <c r="B109" s="31">
        <f>$D$207</f>
        <v>2398.3572000000004</v>
      </c>
      <c r="C109" s="31"/>
      <c r="D109" s="31">
        <f>$D$207</f>
        <v>2398.3572000000004</v>
      </c>
      <c r="E109" s="31"/>
      <c r="F109" s="31">
        <f>$D$207</f>
        <v>2398.3572000000004</v>
      </c>
      <c r="G109" s="31"/>
      <c r="H109" s="31">
        <f>$D$207</f>
        <v>2398.3572000000004</v>
      </c>
      <c r="I109" s="31"/>
      <c r="J109" s="31">
        <f>$D$207</f>
        <v>2398.3572000000004</v>
      </c>
      <c r="K109" s="102"/>
      <c r="L109" s="31">
        <f>$D$207</f>
        <v>2398.3572000000004</v>
      </c>
      <c r="M109" s="31"/>
      <c r="N109" s="31">
        <f>$D$207</f>
        <v>2398.3572000000004</v>
      </c>
      <c r="O109" s="8"/>
    </row>
    <row r="110" spans="1:16" ht="15.75" thickBot="1" x14ac:dyDescent="0.3">
      <c r="A110" s="16" t="s">
        <v>54</v>
      </c>
      <c r="B110" s="14">
        <f>B105+B107+B108+B109</f>
        <v>66441.999224999992</v>
      </c>
      <c r="C110" s="14"/>
      <c r="D110" s="14">
        <f t="shared" ref="D110:N110" si="0">D105+D107+D108+D109</f>
        <v>67055.25224999999</v>
      </c>
      <c r="E110" s="14"/>
      <c r="F110" s="14">
        <f t="shared" si="0"/>
        <v>67365.664274999988</v>
      </c>
      <c r="G110" s="14"/>
      <c r="H110" s="14">
        <f t="shared" si="0"/>
        <v>68708.980425000002</v>
      </c>
      <c r="I110" s="14"/>
      <c r="J110" s="14">
        <f t="shared" si="0"/>
        <v>70335.669224999991</v>
      </c>
      <c r="K110" s="103"/>
      <c r="L110" s="14">
        <f t="shared" si="0"/>
        <v>71339.370824999991</v>
      </c>
      <c r="M110" s="14"/>
      <c r="N110" s="14">
        <f t="shared" si="0"/>
        <v>72401.477475000007</v>
      </c>
      <c r="O110" s="15"/>
    </row>
    <row r="111" spans="1:16" x14ac:dyDescent="0.25">
      <c r="A111" s="55" t="s">
        <v>52</v>
      </c>
      <c r="B111" s="20">
        <f>(B106*1.4*1.12)/154</f>
        <v>346.12971922901801</v>
      </c>
      <c r="C111" s="34"/>
      <c r="D111" s="20">
        <f>(D106*1.4*1.12)/154</f>
        <v>349.45478828350275</v>
      </c>
      <c r="E111" s="51"/>
      <c r="F111" s="20">
        <f>(F106*1.4*1.12)/154</f>
        <v>351.13784792836543</v>
      </c>
      <c r="G111" s="51"/>
      <c r="H111" s="20">
        <f>(H106*1.4*1.12)/154</f>
        <v>358.42133252390346</v>
      </c>
      <c r="I111" s="51"/>
      <c r="J111" s="20">
        <f>(J106*1.4*1.12)/154</f>
        <v>367.24126878130215</v>
      </c>
      <c r="K111" s="104"/>
      <c r="L111" s="20">
        <f>(L106*1.4*1.12)/154</f>
        <v>372.68335711033535</v>
      </c>
      <c r="M111" s="51"/>
      <c r="N111" s="20">
        <f>(N106*1.4*1.12)/154</f>
        <v>378.44211868265302</v>
      </c>
      <c r="O111" s="10"/>
    </row>
    <row r="112" spans="1:16" x14ac:dyDescent="0.25">
      <c r="A112" s="55" t="s">
        <v>53</v>
      </c>
      <c r="B112" s="20">
        <f>(B106*2*1.12)/154</f>
        <v>494.47102747002577</v>
      </c>
      <c r="C112" s="34"/>
      <c r="D112" s="20">
        <f>(D106*2*1.12)/154</f>
        <v>499.22112611928975</v>
      </c>
      <c r="E112" s="51"/>
      <c r="F112" s="20">
        <f>(F106*2*1.12)/154</f>
        <v>501.62549704052202</v>
      </c>
      <c r="G112" s="51"/>
      <c r="H112" s="20">
        <f>(H106*2*1.12)/154</f>
        <v>512.0304750341478</v>
      </c>
      <c r="I112" s="51"/>
      <c r="J112" s="20">
        <f>(J106*2*1.12)/154</f>
        <v>524.63038397328887</v>
      </c>
      <c r="K112" s="104"/>
      <c r="L112" s="20">
        <f>(L106*2*1.12)/154</f>
        <v>532.40479587190771</v>
      </c>
      <c r="M112" s="51"/>
      <c r="N112" s="20">
        <f>(N106*2*1.12)/154</f>
        <v>540.63159811807566</v>
      </c>
      <c r="O112" s="10"/>
    </row>
    <row r="113" spans="1:22" x14ac:dyDescent="0.25">
      <c r="A113" s="24" t="s">
        <v>130</v>
      </c>
      <c r="B113" s="25" t="s">
        <v>1</v>
      </c>
      <c r="C113" s="26" t="s">
        <v>1</v>
      </c>
      <c r="D113" s="25" t="s">
        <v>2</v>
      </c>
      <c r="E113" s="26" t="s">
        <v>2</v>
      </c>
      <c r="F113" s="25" t="s">
        <v>3</v>
      </c>
      <c r="G113" s="26" t="s">
        <v>3</v>
      </c>
      <c r="H113" s="25" t="s">
        <v>4</v>
      </c>
      <c r="I113" s="26" t="s">
        <v>4</v>
      </c>
      <c r="J113" s="25" t="s">
        <v>5</v>
      </c>
      <c r="K113" s="93" t="s">
        <v>5</v>
      </c>
      <c r="L113" s="20"/>
      <c r="M113" s="51"/>
      <c r="N113" s="20"/>
      <c r="O113" s="10"/>
    </row>
    <row r="114" spans="1:22" s="27" customFormat="1" x14ac:dyDescent="0.25">
      <c r="A114" s="2" t="s">
        <v>97</v>
      </c>
      <c r="B114" s="32">
        <f>C114+Forhandlingsresultat!$E$3</f>
        <v>59603</v>
      </c>
      <c r="C114" s="120">
        <v>57353</v>
      </c>
      <c r="D114" s="32">
        <f>E114+Forhandlingsresultat!$E$3</f>
        <v>60529</v>
      </c>
      <c r="E114" s="120">
        <v>58279</v>
      </c>
      <c r="F114" s="32">
        <f>G114+Forhandlingsresultat!$E$3</f>
        <v>61544</v>
      </c>
      <c r="G114" s="120">
        <v>59294</v>
      </c>
      <c r="H114" s="32">
        <f>I114+Forhandlingsresultat!$E$3</f>
        <v>63671</v>
      </c>
      <c r="I114" s="120">
        <v>61421</v>
      </c>
      <c r="J114" s="32">
        <f>K114+Forhandlingsresultat!$E$3</f>
        <v>65106</v>
      </c>
      <c r="K114" s="121">
        <v>62856</v>
      </c>
      <c r="L114" s="20"/>
      <c r="M114" s="51"/>
      <c r="N114" s="20"/>
      <c r="O114" s="117"/>
    </row>
    <row r="115" spans="1:22" s="27" customFormat="1" ht="14.25" customHeight="1" x14ac:dyDescent="0.25">
      <c r="A115" s="2" t="s">
        <v>51</v>
      </c>
      <c r="B115" s="113">
        <f>B118/1.797</f>
        <v>33168.057874234837</v>
      </c>
      <c r="C115" s="113"/>
      <c r="D115" s="113">
        <f>D118/1.797</f>
        <v>33683.361157484695</v>
      </c>
      <c r="E115" s="113"/>
      <c r="F115" s="113">
        <f>F118/1.797</f>
        <v>34248.19143016138</v>
      </c>
      <c r="G115" s="113"/>
      <c r="H115" s="113">
        <f>H118/1.797</f>
        <v>35431.830829159713</v>
      </c>
      <c r="I115" s="113"/>
      <c r="J115" s="113">
        <f>J118/1.797</f>
        <v>36230.383973288815</v>
      </c>
      <c r="K115" s="104"/>
      <c r="L115" s="20"/>
      <c r="M115" s="51"/>
      <c r="N115" s="20"/>
      <c r="O115" s="117"/>
    </row>
    <row r="116" spans="1:22" x14ac:dyDescent="0.25">
      <c r="A116" s="55" t="s">
        <v>52</v>
      </c>
      <c r="B116" s="20">
        <f>(B115*1.4*1.12)/154</f>
        <v>337.711134719482</v>
      </c>
      <c r="C116" s="20"/>
      <c r="D116" s="20">
        <f>(D115*1.4*1.12)/154</f>
        <v>342.95785905802597</v>
      </c>
      <c r="E116" s="20"/>
      <c r="F116" s="20">
        <f>(F115*1.4*1.12)/154</f>
        <v>348.70885819800674</v>
      </c>
      <c r="G116" s="20"/>
      <c r="H116" s="20">
        <f>(H115*1.4*1.12)/154</f>
        <v>360.76045935144435</v>
      </c>
      <c r="I116" s="20"/>
      <c r="J116" s="20">
        <f>(J115*1.4*1.12)/154</f>
        <v>368.89118227348615</v>
      </c>
      <c r="K116" s="105"/>
      <c r="L116" s="52"/>
      <c r="M116" s="53"/>
      <c r="N116" s="52"/>
      <c r="O116" s="10"/>
    </row>
    <row r="117" spans="1:22" x14ac:dyDescent="0.25">
      <c r="A117" s="55" t="s">
        <v>53</v>
      </c>
      <c r="B117" s="20">
        <f>(B115*2*1.12)/154</f>
        <v>482.44447817068857</v>
      </c>
      <c r="C117" s="20"/>
      <c r="D117" s="20">
        <f>(D115*2*1.12)/154</f>
        <v>489.93979865432289</v>
      </c>
      <c r="E117" s="20"/>
      <c r="F117" s="20">
        <f>(F115*2*1.12)/154</f>
        <v>498.15551171143824</v>
      </c>
      <c r="G117" s="20"/>
      <c r="H117" s="20">
        <f>(H115*2*1.12)/154</f>
        <v>515.37208478777768</v>
      </c>
      <c r="I117" s="20"/>
      <c r="J117" s="20">
        <f>(J115*2*1.12)/154</f>
        <v>526.98740324783739</v>
      </c>
      <c r="K117" s="105"/>
      <c r="L117" s="52"/>
      <c r="M117" s="53"/>
      <c r="N117" s="52"/>
      <c r="O117" s="10"/>
    </row>
    <row r="118" spans="1:22" ht="15.75" customHeight="1" thickBot="1" x14ac:dyDescent="0.3">
      <c r="A118" s="16" t="s">
        <v>54</v>
      </c>
      <c r="B118" s="71">
        <f>B114</f>
        <v>59603</v>
      </c>
      <c r="C118" s="63"/>
      <c r="D118" s="71">
        <f>D114</f>
        <v>60529</v>
      </c>
      <c r="E118" s="63"/>
      <c r="F118" s="71">
        <f>F114</f>
        <v>61544</v>
      </c>
      <c r="G118" s="63"/>
      <c r="H118" s="71">
        <f>H114</f>
        <v>63671</v>
      </c>
      <c r="I118" s="63"/>
      <c r="J118" s="71">
        <f>J114</f>
        <v>65106</v>
      </c>
      <c r="K118" s="106"/>
      <c r="L118" s="20"/>
      <c r="M118" s="51"/>
      <c r="N118" s="20"/>
      <c r="O118" s="10"/>
    </row>
    <row r="119" spans="1:22" x14ac:dyDescent="0.25">
      <c r="A119" s="24" t="s">
        <v>12</v>
      </c>
      <c r="B119" s="76" t="s">
        <v>1</v>
      </c>
      <c r="C119" s="77" t="s">
        <v>1</v>
      </c>
      <c r="D119" s="76" t="s">
        <v>2</v>
      </c>
      <c r="E119" s="77" t="s">
        <v>2</v>
      </c>
      <c r="F119" s="76" t="s">
        <v>3</v>
      </c>
      <c r="G119" s="77" t="s">
        <v>3</v>
      </c>
      <c r="H119" s="76" t="s">
        <v>4</v>
      </c>
      <c r="I119" s="77" t="s">
        <v>4</v>
      </c>
      <c r="J119" s="76" t="s">
        <v>5</v>
      </c>
      <c r="K119" s="93" t="s">
        <v>5</v>
      </c>
    </row>
    <row r="120" spans="1:22" x14ac:dyDescent="0.25">
      <c r="A120" s="2" t="s">
        <v>0</v>
      </c>
      <c r="B120" s="32">
        <f>C120+Forhandlingsresultat!$E$3</f>
        <v>53862</v>
      </c>
      <c r="C120" s="8">
        <f>56434-2398-2424</f>
        <v>51612</v>
      </c>
      <c r="D120" s="32">
        <f>E120+Forhandlingsresultat!$E$3</f>
        <v>54538</v>
      </c>
      <c r="E120" s="8">
        <f>57141-2455-2398</f>
        <v>52288</v>
      </c>
      <c r="F120" s="32">
        <f>G120+Forhandlingsresultat!$E$3</f>
        <v>55387</v>
      </c>
      <c r="G120" s="8">
        <f>58028-2493-2398</f>
        <v>53137</v>
      </c>
      <c r="H120" s="32">
        <f>I120+Forhandlingsresultat!$E$3</f>
        <v>57123</v>
      </c>
      <c r="I120" s="8">
        <f>59842-2571-2398</f>
        <v>54873</v>
      </c>
      <c r="J120" s="32">
        <f>K120+Forhandlingsresultat!$E$3</f>
        <v>58525</v>
      </c>
      <c r="K120" s="94">
        <f>61307-2634-2398</f>
        <v>56275</v>
      </c>
    </row>
    <row r="121" spans="1:22" x14ac:dyDescent="0.25">
      <c r="A121" s="2" t="s">
        <v>51</v>
      </c>
      <c r="B121" s="80">
        <f>B120/1.797</f>
        <v>29973.288814691154</v>
      </c>
      <c r="C121" s="31"/>
      <c r="D121" s="80">
        <f>D120/1.797</f>
        <v>30349.471341124095</v>
      </c>
      <c r="E121" s="31"/>
      <c r="F121" s="80">
        <f>F120/1.797</f>
        <v>30821.925431274347</v>
      </c>
      <c r="G121" s="31"/>
      <c r="H121" s="80">
        <f>H120/1.797</f>
        <v>31787.979966611019</v>
      </c>
      <c r="I121" s="31"/>
      <c r="J121" s="80">
        <f>J120/1.797</f>
        <v>32568.16917084029</v>
      </c>
      <c r="K121" s="94"/>
      <c r="O121" s="91"/>
    </row>
    <row r="122" spans="1:22" x14ac:dyDescent="0.25">
      <c r="A122" s="27" t="s">
        <v>7</v>
      </c>
      <c r="B122" s="31">
        <f>B120*4.5/100</f>
        <v>2423.79</v>
      </c>
      <c r="C122" s="8"/>
      <c r="D122" s="31">
        <f>D120*4.5/100</f>
        <v>2454.21</v>
      </c>
      <c r="E122" s="8"/>
      <c r="F122" s="31">
        <f>F120*4.5/100</f>
        <v>2492.415</v>
      </c>
      <c r="G122" s="8"/>
      <c r="H122" s="31">
        <f>H120*4.5/100</f>
        <v>2570.5349999999999</v>
      </c>
      <c r="I122" s="8"/>
      <c r="J122" s="31">
        <f>J120*4.5/100</f>
        <v>2633.625</v>
      </c>
      <c r="K122" s="94"/>
      <c r="O122" s="91"/>
      <c r="P122" s="91"/>
      <c r="Q122" s="91"/>
    </row>
    <row r="123" spans="1:22" x14ac:dyDescent="0.25">
      <c r="A123" s="27" t="s">
        <v>19</v>
      </c>
      <c r="B123" s="31">
        <f>$D$207</f>
        <v>2398.3572000000004</v>
      </c>
      <c r="C123" s="31"/>
      <c r="D123" s="31">
        <f>$D$207</f>
        <v>2398.3572000000004</v>
      </c>
      <c r="E123" s="31"/>
      <c r="F123" s="31">
        <f>$D$207</f>
        <v>2398.3572000000004</v>
      </c>
      <c r="G123" s="31"/>
      <c r="H123" s="31">
        <f>$D$207</f>
        <v>2398.3572000000004</v>
      </c>
      <c r="I123" s="31"/>
      <c r="J123" s="31">
        <f>$D$207</f>
        <v>2398.3572000000004</v>
      </c>
      <c r="K123" s="94"/>
      <c r="O123" s="91"/>
    </row>
    <row r="124" spans="1:22" ht="15.75" thickBot="1" x14ac:dyDescent="0.3">
      <c r="A124" s="16" t="s">
        <v>54</v>
      </c>
      <c r="B124" s="14">
        <f t="shared" ref="B124:H124" si="1">B120+B122+B123</f>
        <v>58684.147199999999</v>
      </c>
      <c r="C124" s="14"/>
      <c r="D124" s="14">
        <f t="shared" si="1"/>
        <v>59390.567199999998</v>
      </c>
      <c r="E124" s="14"/>
      <c r="F124" s="14">
        <f t="shared" si="1"/>
        <v>60277.772199999999</v>
      </c>
      <c r="G124" s="14"/>
      <c r="H124" s="14">
        <f t="shared" si="1"/>
        <v>62091.892200000002</v>
      </c>
      <c r="I124" s="14"/>
      <c r="J124" s="14">
        <f>J120+J122+J123</f>
        <v>63556.982199999999</v>
      </c>
      <c r="K124" s="103"/>
    </row>
    <row r="125" spans="1:22" x14ac:dyDescent="0.25">
      <c r="A125" s="55" t="s">
        <v>52</v>
      </c>
      <c r="B125" s="20">
        <f>(B121*1.4*1.12)/154</f>
        <v>305.18257702230994</v>
      </c>
      <c r="C125" s="20">
        <f t="shared" ref="C125:J125" si="2">(C121*1.4*1.12)/154</f>
        <v>0</v>
      </c>
      <c r="D125" s="20">
        <f t="shared" si="2"/>
        <v>309.01279910962711</v>
      </c>
      <c r="E125" s="20">
        <f t="shared" si="2"/>
        <v>0</v>
      </c>
      <c r="F125" s="20">
        <f t="shared" si="2"/>
        <v>313.8232407547934</v>
      </c>
      <c r="G125" s="20">
        <f t="shared" si="2"/>
        <v>0</v>
      </c>
      <c r="H125" s="20">
        <f t="shared" si="2"/>
        <v>323.65943238731222</v>
      </c>
      <c r="I125" s="20">
        <f t="shared" si="2"/>
        <v>0</v>
      </c>
      <c r="J125" s="20">
        <f t="shared" si="2"/>
        <v>331.60317701219208</v>
      </c>
      <c r="K125" s="105"/>
      <c r="O125" s="91"/>
    </row>
    <row r="126" spans="1:22" x14ac:dyDescent="0.25">
      <c r="A126" s="55" t="s">
        <v>53</v>
      </c>
      <c r="B126" s="20">
        <f>(B121*2*1.12)/154</f>
        <v>435.9751100318714</v>
      </c>
      <c r="C126" s="20">
        <f t="shared" ref="C126:J126" si="3">(C121*2*1.12)/154</f>
        <v>0</v>
      </c>
      <c r="D126" s="20">
        <f t="shared" si="3"/>
        <v>441.446855870896</v>
      </c>
      <c r="E126" s="20">
        <f t="shared" si="3"/>
        <v>0</v>
      </c>
      <c r="F126" s="20">
        <f t="shared" si="3"/>
        <v>448.31891536399053</v>
      </c>
      <c r="G126" s="20">
        <f t="shared" si="3"/>
        <v>0</v>
      </c>
      <c r="H126" s="20">
        <f t="shared" si="3"/>
        <v>462.37061769616037</v>
      </c>
      <c r="I126" s="20">
        <f t="shared" si="3"/>
        <v>0</v>
      </c>
      <c r="J126" s="20">
        <f t="shared" si="3"/>
        <v>473.7188243031315</v>
      </c>
      <c r="K126" s="105"/>
    </row>
    <row r="127" spans="1:22" x14ac:dyDescent="0.25">
      <c r="A127" s="24" t="s">
        <v>81</v>
      </c>
      <c r="B127" s="25" t="s">
        <v>1</v>
      </c>
      <c r="C127" s="25" t="s">
        <v>1</v>
      </c>
      <c r="D127" s="25" t="s">
        <v>2</v>
      </c>
      <c r="E127" s="26" t="s">
        <v>2</v>
      </c>
      <c r="F127" s="25" t="s">
        <v>3</v>
      </c>
      <c r="G127" s="26" t="s">
        <v>3</v>
      </c>
      <c r="H127" s="25" t="s">
        <v>4</v>
      </c>
      <c r="I127" s="26" t="s">
        <v>4</v>
      </c>
      <c r="J127" s="25" t="s">
        <v>5</v>
      </c>
      <c r="K127" s="93" t="s">
        <v>5</v>
      </c>
      <c r="Q127" s="91"/>
      <c r="V127" s="91"/>
    </row>
    <row r="128" spans="1:22" x14ac:dyDescent="0.25">
      <c r="A128" s="2" t="s">
        <v>0</v>
      </c>
      <c r="B128" s="32">
        <f>C128+Forhandlingsresultat!$E$3</f>
        <v>52021</v>
      </c>
      <c r="C128" s="8">
        <f>54510-2341-2398</f>
        <v>49771</v>
      </c>
      <c r="D128" s="32">
        <f>E128+Forhandlingsresultat!$E$3</f>
        <v>52589</v>
      </c>
      <c r="E128" s="8">
        <f>55104-2367-2398</f>
        <v>50339</v>
      </c>
      <c r="F128" s="32">
        <f>G128+Forhandlingsresultat!$E$3</f>
        <v>53341</v>
      </c>
      <c r="G128" s="8">
        <f>55890-2401-2398</f>
        <v>51091</v>
      </c>
      <c r="H128" s="32">
        <f>I128+Forhandlingsresultat!$E$3</f>
        <v>54765</v>
      </c>
      <c r="I128" s="8">
        <f>57378-2465-2398</f>
        <v>52515</v>
      </c>
      <c r="J128" s="32">
        <f>K128+Forhandlingsresultat!$E$3</f>
        <v>56237</v>
      </c>
      <c r="K128" s="94">
        <f>58916-2531-2398</f>
        <v>53987</v>
      </c>
    </row>
    <row r="129" spans="1:18" x14ac:dyDescent="0.25">
      <c r="A129" s="2" t="s">
        <v>51</v>
      </c>
      <c r="B129" s="113">
        <f>B128/1.797</f>
        <v>28948.803561491375</v>
      </c>
      <c r="C129" s="114"/>
      <c r="D129" s="113">
        <f>D128/1.797</f>
        <v>29264.88592097941</v>
      </c>
      <c r="E129" s="114"/>
      <c r="F129" s="113">
        <f>F128/1.797</f>
        <v>29683.361157484698</v>
      </c>
      <c r="G129" s="114"/>
      <c r="H129" s="113">
        <f>H128/1.797</f>
        <v>30475.792988313857</v>
      </c>
      <c r="I129" s="114"/>
      <c r="J129" s="113">
        <f>J128/1.797</f>
        <v>31294.936004451865</v>
      </c>
      <c r="K129" s="94"/>
      <c r="Q129" s="133"/>
    </row>
    <row r="130" spans="1:18" x14ac:dyDescent="0.25">
      <c r="A130" s="27" t="s">
        <v>7</v>
      </c>
      <c r="B130" s="31">
        <f>B128*4.5/100</f>
        <v>2340.9450000000002</v>
      </c>
      <c r="C130" s="8"/>
      <c r="D130" s="31">
        <f>D128*4.5/100</f>
        <v>2366.5050000000001</v>
      </c>
      <c r="E130" s="8"/>
      <c r="F130" s="31">
        <f>F128*4.5/100</f>
        <v>2400.3449999999998</v>
      </c>
      <c r="G130" s="8"/>
      <c r="H130" s="31">
        <f>H128*4.5/100</f>
        <v>2464.4250000000002</v>
      </c>
      <c r="I130" s="8"/>
      <c r="J130" s="31">
        <f>J128*4.5/100</f>
        <v>2530.665</v>
      </c>
      <c r="K130" s="102"/>
      <c r="M130" s="91"/>
      <c r="N130" s="91"/>
    </row>
    <row r="131" spans="1:18" x14ac:dyDescent="0.25">
      <c r="A131" s="27" t="s">
        <v>19</v>
      </c>
      <c r="B131" s="31">
        <f>$D$207</f>
        <v>2398.3572000000004</v>
      </c>
      <c r="C131" s="31"/>
      <c r="D131" s="31">
        <f>$D$207</f>
        <v>2398.3572000000004</v>
      </c>
      <c r="E131" s="31"/>
      <c r="F131" s="31">
        <f>$D$207</f>
        <v>2398.3572000000004</v>
      </c>
      <c r="G131" s="31"/>
      <c r="H131" s="31">
        <f>$D$207</f>
        <v>2398.3572000000004</v>
      </c>
      <c r="I131" s="31"/>
      <c r="J131" s="31">
        <f>$D$207</f>
        <v>2398.3572000000004</v>
      </c>
      <c r="K131" s="94"/>
      <c r="O131" s="91"/>
    </row>
    <row r="132" spans="1:18" ht="15.75" thickBot="1" x14ac:dyDescent="0.3">
      <c r="A132" s="16" t="s">
        <v>54</v>
      </c>
      <c r="B132" s="14">
        <f>B128+B130+B131</f>
        <v>56760.302199999998</v>
      </c>
      <c r="C132" s="14"/>
      <c r="D132" s="14">
        <f t="shared" ref="D132:J132" si="4">D128+D130+D131</f>
        <v>57353.862199999996</v>
      </c>
      <c r="E132" s="14"/>
      <c r="F132" s="14">
        <f t="shared" si="4"/>
        <v>58139.7022</v>
      </c>
      <c r="G132" s="14"/>
      <c r="H132" s="14">
        <f t="shared" si="4"/>
        <v>59627.782200000001</v>
      </c>
      <c r="I132" s="14"/>
      <c r="J132" s="14">
        <f t="shared" si="4"/>
        <v>61166.022199999999</v>
      </c>
      <c r="K132" s="103"/>
      <c r="O132" s="91"/>
    </row>
    <row r="133" spans="1:18" x14ac:dyDescent="0.25">
      <c r="A133" s="55" t="s">
        <v>52</v>
      </c>
      <c r="B133" s="20">
        <f>(B129*1.4*1.12)/154</f>
        <v>294.75145444427585</v>
      </c>
      <c r="C133" s="20"/>
      <c r="D133" s="20">
        <f t="shared" ref="D133:J133" si="5">(D129*1.4*1.12)/154</f>
        <v>297.96974755906308</v>
      </c>
      <c r="E133" s="20"/>
      <c r="F133" s="20">
        <f t="shared" si="5"/>
        <v>302.23058633075328</v>
      </c>
      <c r="G133" s="20"/>
      <c r="H133" s="20">
        <f t="shared" si="5"/>
        <v>310.29898315374106</v>
      </c>
      <c r="I133" s="20"/>
      <c r="J133" s="20">
        <f t="shared" si="5"/>
        <v>318.63934840896445</v>
      </c>
      <c r="K133" s="105"/>
      <c r="M133" s="91"/>
    </row>
    <row r="134" spans="1:18" x14ac:dyDescent="0.25">
      <c r="A134" s="55" t="s">
        <v>53</v>
      </c>
      <c r="B134" s="20">
        <f>(B129*2*1.12)/154</f>
        <v>421.07350634896551</v>
      </c>
      <c r="C134" s="20"/>
      <c r="D134" s="20">
        <f t="shared" ref="D134:J134" si="6">(D129*2*1.12)/154</f>
        <v>425.67106794151874</v>
      </c>
      <c r="E134" s="20"/>
      <c r="F134" s="20">
        <f t="shared" si="6"/>
        <v>431.7579804725047</v>
      </c>
      <c r="G134" s="20"/>
      <c r="H134" s="20">
        <f t="shared" si="6"/>
        <v>443.28426164820161</v>
      </c>
      <c r="I134" s="20"/>
      <c r="J134" s="20">
        <f t="shared" si="6"/>
        <v>455.19906915566349</v>
      </c>
      <c r="K134" s="105"/>
      <c r="R134" s="91"/>
    </row>
    <row r="135" spans="1:18" x14ac:dyDescent="0.25">
      <c r="A135" s="24" t="s">
        <v>80</v>
      </c>
      <c r="B135" s="25" t="s">
        <v>1</v>
      </c>
      <c r="C135" s="26" t="s">
        <v>1</v>
      </c>
      <c r="D135" s="25" t="s">
        <v>2</v>
      </c>
      <c r="E135" s="26" t="s">
        <v>2</v>
      </c>
      <c r="F135" s="25" t="s">
        <v>3</v>
      </c>
      <c r="G135" s="26" t="s">
        <v>3</v>
      </c>
      <c r="H135" s="25" t="s">
        <v>4</v>
      </c>
      <c r="I135" s="26" t="s">
        <v>4</v>
      </c>
      <c r="J135" s="25" t="s">
        <v>5</v>
      </c>
      <c r="K135" s="93" t="s">
        <v>5</v>
      </c>
      <c r="O135" s="91"/>
    </row>
    <row r="136" spans="1:18" x14ac:dyDescent="0.25">
      <c r="A136" s="2" t="s">
        <v>0</v>
      </c>
      <c r="B136" s="32">
        <f>C136+Forhandlingsresultat!$E$3</f>
        <v>50759</v>
      </c>
      <c r="C136" s="8">
        <f>53090-2183-2398</f>
        <v>48509</v>
      </c>
      <c r="D136" s="32">
        <f>E136+Forhandlingsresultat!$E$3</f>
        <v>51346</v>
      </c>
      <c r="E136" s="8">
        <f>53704-2210-2398</f>
        <v>49096</v>
      </c>
      <c r="F136" s="32">
        <f>G136+Forhandlingsresultat!$E$3</f>
        <v>51985</v>
      </c>
      <c r="G136" s="8">
        <f>54371-2238-2398</f>
        <v>49735</v>
      </c>
      <c r="H136" s="32">
        <f>I136+Forhandlingsresultat!$E$3</f>
        <v>52912</v>
      </c>
      <c r="I136" s="8">
        <f>55340-2280-2398</f>
        <v>50662</v>
      </c>
      <c r="J136" s="32">
        <f>K136+Forhandlingsresultat!$E$3</f>
        <v>54833</v>
      </c>
      <c r="K136" s="94">
        <f>57347-2366-2398</f>
        <v>52583</v>
      </c>
      <c r="O136" s="91"/>
    </row>
    <row r="137" spans="1:18" x14ac:dyDescent="0.25">
      <c r="A137" s="2" t="s">
        <v>51</v>
      </c>
      <c r="B137" s="80">
        <f>B136/1.797</f>
        <v>28246.521981079579</v>
      </c>
      <c r="C137" s="80"/>
      <c r="D137" s="80">
        <f>D136/1.797</f>
        <v>28573.1775180857</v>
      </c>
      <c r="E137" s="80"/>
      <c r="F137" s="80">
        <f>F136/1.797</f>
        <v>28928.770172509739</v>
      </c>
      <c r="G137" s="80"/>
      <c r="H137" s="80">
        <f>H136/1.797</f>
        <v>29444.629938786868</v>
      </c>
      <c r="I137" s="80"/>
      <c r="J137" s="80">
        <f>J136/1.797</f>
        <v>30513.63383416806</v>
      </c>
      <c r="K137" s="94"/>
    </row>
    <row r="138" spans="1:18" ht="12" customHeight="1" x14ac:dyDescent="0.25">
      <c r="A138" s="27" t="s">
        <v>7</v>
      </c>
      <c r="B138" s="31">
        <f>C136*4.5/100</f>
        <v>2182.9050000000002</v>
      </c>
      <c r="C138" s="8"/>
      <c r="D138" s="31">
        <f>E136*4.5/100</f>
        <v>2209.3200000000002</v>
      </c>
      <c r="E138" s="8"/>
      <c r="F138" s="31">
        <f>G136*4.5/100</f>
        <v>2238.0749999999998</v>
      </c>
      <c r="G138" s="8"/>
      <c r="H138" s="31">
        <f>I136*4.5/100</f>
        <v>2279.79</v>
      </c>
      <c r="I138" s="8"/>
      <c r="J138" s="31">
        <f>K136*4.5/100</f>
        <v>2366.2350000000001</v>
      </c>
      <c r="K138" s="102"/>
      <c r="M138" s="91"/>
      <c r="Q138" s="91"/>
    </row>
    <row r="139" spans="1:18" ht="12.75" customHeight="1" x14ac:dyDescent="0.25">
      <c r="A139" s="27" t="s">
        <v>19</v>
      </c>
      <c r="B139" s="31">
        <f>$D$207</f>
        <v>2398.3572000000004</v>
      </c>
      <c r="C139" s="31"/>
      <c r="D139" s="31">
        <f>$D$207</f>
        <v>2398.3572000000004</v>
      </c>
      <c r="E139" s="31"/>
      <c r="F139" s="31">
        <f>$D$207</f>
        <v>2398.3572000000004</v>
      </c>
      <c r="G139" s="31"/>
      <c r="H139" s="31">
        <f>$D$207</f>
        <v>2398.3572000000004</v>
      </c>
      <c r="I139" s="31"/>
      <c r="J139" s="31">
        <f>$D$207</f>
        <v>2398.3572000000004</v>
      </c>
      <c r="K139" s="94"/>
    </row>
    <row r="140" spans="1:18" ht="15.75" thickBot="1" x14ac:dyDescent="0.3">
      <c r="A140" s="16" t="s">
        <v>54</v>
      </c>
      <c r="B140" s="14">
        <f>B136+B138+B139</f>
        <v>55340.262199999997</v>
      </c>
      <c r="C140" s="14"/>
      <c r="D140" s="14">
        <f>D136+D138+D139</f>
        <v>55953.677199999998</v>
      </c>
      <c r="E140" s="14"/>
      <c r="F140" s="14">
        <f>F136+F138+F139</f>
        <v>56621.432199999996</v>
      </c>
      <c r="G140" s="14"/>
      <c r="H140" s="14">
        <f>H136+H138+H139</f>
        <v>57590.147199999999</v>
      </c>
      <c r="I140" s="14"/>
      <c r="J140" s="14">
        <f>J136+J138+J139</f>
        <v>59597.592199999999</v>
      </c>
      <c r="K140" s="103"/>
      <c r="Q140" s="91"/>
    </row>
    <row r="141" spans="1:18" x14ac:dyDescent="0.25">
      <c r="A141" s="55" t="s">
        <v>52</v>
      </c>
      <c r="B141" s="20">
        <f>(B137*1.4*1.12)/154</f>
        <v>287.60095108008301</v>
      </c>
      <c r="C141" s="20"/>
      <c r="D141" s="20">
        <f>(D137*1.4*1.12)/154</f>
        <v>290.9268983659635</v>
      </c>
      <c r="E141" s="20"/>
      <c r="F141" s="20">
        <f>(F137*1.4*1.12)/154</f>
        <v>294.54747812009919</v>
      </c>
      <c r="G141" s="20"/>
      <c r="H141" s="20">
        <f>(H137*1.4*1.12)/154</f>
        <v>299.79986846764814</v>
      </c>
      <c r="I141" s="20"/>
      <c r="J141" s="20">
        <f>(J137*1.4*1.12)/154</f>
        <v>310.6842717660748</v>
      </c>
      <c r="K141" s="105"/>
    </row>
    <row r="142" spans="1:18" x14ac:dyDescent="0.25">
      <c r="A142" s="55" t="s">
        <v>53</v>
      </c>
      <c r="B142" s="20">
        <f>(B137*2*1.12)/154</f>
        <v>410.85850154297572</v>
      </c>
      <c r="C142" s="20"/>
      <c r="D142" s="20">
        <f>(D137*2*1.12)/154</f>
        <v>415.60985480851929</v>
      </c>
      <c r="E142" s="20"/>
      <c r="F142" s="20">
        <f>(F137*2*1.12)/154</f>
        <v>420.78211160014172</v>
      </c>
      <c r="G142" s="20"/>
      <c r="H142" s="20">
        <f>(H137*2*1.12)/154</f>
        <v>428.28552638235448</v>
      </c>
      <c r="I142" s="20"/>
      <c r="J142" s="20">
        <f>(J137*2*1.12)/154</f>
        <v>443.83467395153548</v>
      </c>
      <c r="K142" s="105"/>
      <c r="O142" s="91"/>
      <c r="Q142" s="91"/>
    </row>
    <row r="143" spans="1:18" x14ac:dyDescent="0.25">
      <c r="A143" s="112" t="s">
        <v>85</v>
      </c>
      <c r="B143" s="25" t="s">
        <v>1</v>
      </c>
      <c r="C143" s="26" t="s">
        <v>1</v>
      </c>
      <c r="D143" s="25" t="s">
        <v>2</v>
      </c>
      <c r="E143" s="26" t="s">
        <v>2</v>
      </c>
      <c r="F143" s="25" t="s">
        <v>3</v>
      </c>
      <c r="G143" s="26" t="s">
        <v>3</v>
      </c>
      <c r="H143" s="25" t="s">
        <v>4</v>
      </c>
      <c r="I143" s="26" t="s">
        <v>4</v>
      </c>
      <c r="J143" s="25" t="s">
        <v>5</v>
      </c>
      <c r="K143" s="93" t="s">
        <v>5</v>
      </c>
    </row>
    <row r="144" spans="1:18" x14ac:dyDescent="0.25">
      <c r="A144" s="2" t="s">
        <v>0</v>
      </c>
      <c r="B144" s="32">
        <f>C144+Forhandlingsresultat!$E$3</f>
        <v>54409</v>
      </c>
      <c r="C144" s="8">
        <f>57006-2449-2398</f>
        <v>52159</v>
      </c>
      <c r="D144" s="32">
        <f>E144+Forhandlingsresultat!$E$3</f>
        <v>55102</v>
      </c>
      <c r="E144" s="8">
        <f>57730-2480-2398</f>
        <v>52852</v>
      </c>
      <c r="F144" s="32">
        <f>G144+Forhandlingsresultat!$E$3</f>
        <v>56012</v>
      </c>
      <c r="G144" s="8">
        <f>58680-2520-2398</f>
        <v>53762</v>
      </c>
      <c r="H144" s="32">
        <f>I144+Forhandlingsresultat!$E$3</f>
        <v>57753</v>
      </c>
      <c r="I144" s="8">
        <f>60499-2598-2398</f>
        <v>55503</v>
      </c>
      <c r="J144" s="32">
        <f>K144+Forhandlingsresultat!$E$3</f>
        <v>59402</v>
      </c>
      <c r="K144" s="94">
        <f>62223-2673-2398</f>
        <v>57152</v>
      </c>
    </row>
    <row r="145" spans="1:17" x14ac:dyDescent="0.25">
      <c r="A145" s="2" t="s">
        <v>51</v>
      </c>
      <c r="B145" s="80">
        <f>B144/1.797</f>
        <v>30277.685030606568</v>
      </c>
      <c r="C145" s="80"/>
      <c r="D145" s="80">
        <f t="shared" ref="D145:J145" si="7">D144/1.797</f>
        <v>30663.327768503063</v>
      </c>
      <c r="E145" s="80"/>
      <c r="F145" s="80">
        <f t="shared" si="7"/>
        <v>31169.727323316642</v>
      </c>
      <c r="G145" s="80"/>
      <c r="H145" s="80">
        <f t="shared" si="7"/>
        <v>32138.564273789652</v>
      </c>
      <c r="I145" s="80"/>
      <c r="J145" s="80">
        <f t="shared" si="7"/>
        <v>33056.204785754038</v>
      </c>
      <c r="K145" s="107"/>
      <c r="M145" s="91"/>
    </row>
    <row r="146" spans="1:17" x14ac:dyDescent="0.25">
      <c r="A146" s="27" t="s">
        <v>7</v>
      </c>
      <c r="B146" s="31">
        <f>B144*4.5/100</f>
        <v>2448.4050000000002</v>
      </c>
      <c r="C146" s="31"/>
      <c r="D146" s="31">
        <f t="shared" ref="D146:J146" si="8">D144*4.5/100</f>
        <v>2479.59</v>
      </c>
      <c r="E146" s="31"/>
      <c r="F146" s="31">
        <f t="shared" si="8"/>
        <v>2520.54</v>
      </c>
      <c r="G146" s="31"/>
      <c r="H146" s="31">
        <f t="shared" si="8"/>
        <v>2598.8850000000002</v>
      </c>
      <c r="I146" s="31"/>
      <c r="J146" s="31">
        <f t="shared" si="8"/>
        <v>2673.09</v>
      </c>
      <c r="K146" s="94"/>
      <c r="M146" s="91"/>
      <c r="N146" s="91"/>
    </row>
    <row r="147" spans="1:17" x14ac:dyDescent="0.25">
      <c r="A147" s="2" t="s">
        <v>19</v>
      </c>
      <c r="B147" s="31">
        <f>$D$207</f>
        <v>2398.3572000000004</v>
      </c>
      <c r="C147" s="31"/>
      <c r="D147" s="31">
        <f>$D$207</f>
        <v>2398.3572000000004</v>
      </c>
      <c r="E147" s="31"/>
      <c r="F147" s="31">
        <f>$D$207</f>
        <v>2398.3572000000004</v>
      </c>
      <c r="G147" s="31"/>
      <c r="H147" s="31">
        <f>$D$207</f>
        <v>2398.3572000000004</v>
      </c>
      <c r="I147" s="31"/>
      <c r="J147" s="31">
        <f>$D$207</f>
        <v>2398.3572000000004</v>
      </c>
      <c r="K147" s="94"/>
    </row>
    <row r="148" spans="1:17" ht="15.75" thickBot="1" x14ac:dyDescent="0.3">
      <c r="A148" s="16" t="s">
        <v>54</v>
      </c>
      <c r="B148" s="14">
        <f>B144+B146+B147</f>
        <v>59255.762199999997</v>
      </c>
      <c r="C148" s="14"/>
      <c r="D148" s="14">
        <f t="shared" ref="D148:J148" si="9">D144+D146+D147</f>
        <v>59979.947199999995</v>
      </c>
      <c r="E148" s="14"/>
      <c r="F148" s="14">
        <f t="shared" si="9"/>
        <v>60930.897199999999</v>
      </c>
      <c r="G148" s="14"/>
      <c r="H148" s="14">
        <f t="shared" si="9"/>
        <v>62750.242200000001</v>
      </c>
      <c r="I148" s="14"/>
      <c r="J148" s="14">
        <f t="shared" si="9"/>
        <v>64473.447199999995</v>
      </c>
      <c r="K148" s="108"/>
      <c r="N148" s="43"/>
      <c r="Q148" s="91"/>
    </row>
    <row r="149" spans="1:17" x14ac:dyDescent="0.25">
      <c r="A149" s="55" t="s">
        <v>52</v>
      </c>
      <c r="B149" s="20">
        <f>(B145*1.4*1.12)/154</f>
        <v>308.28188394799412</v>
      </c>
      <c r="C149" s="20"/>
      <c r="D149" s="20">
        <f t="shared" ref="D149:J149" si="10">(D145*1.4*1.12)/154</f>
        <v>312.20842818839486</v>
      </c>
      <c r="E149" s="20"/>
      <c r="F149" s="20">
        <f t="shared" si="10"/>
        <v>317.36449638286035</v>
      </c>
      <c r="G149" s="20"/>
      <c r="H149" s="20">
        <f t="shared" si="10"/>
        <v>327.22901806040375</v>
      </c>
      <c r="I149" s="20"/>
      <c r="J149" s="20">
        <f t="shared" si="10"/>
        <v>336.57226690949568</v>
      </c>
      <c r="K149" s="105"/>
      <c r="O149" s="91"/>
    </row>
    <row r="150" spans="1:17" x14ac:dyDescent="0.25">
      <c r="A150" s="55" t="s">
        <v>53</v>
      </c>
      <c r="B150" s="20">
        <f>(B145*2*1.12)/154</f>
        <v>440.40269135427735</v>
      </c>
      <c r="C150" s="20"/>
      <c r="D150" s="20">
        <f t="shared" ref="D150:J150" si="11">(D145*2*1.12)/154</f>
        <v>446.01204026913553</v>
      </c>
      <c r="E150" s="20"/>
      <c r="F150" s="20">
        <f t="shared" si="11"/>
        <v>453.37785197551489</v>
      </c>
      <c r="G150" s="20"/>
      <c r="H150" s="20">
        <f t="shared" si="11"/>
        <v>467.47002580057682</v>
      </c>
      <c r="I150" s="20"/>
      <c r="J150" s="20">
        <f t="shared" si="11"/>
        <v>480.81752415642245</v>
      </c>
      <c r="K150" s="105"/>
    </row>
    <row r="151" spans="1:17" x14ac:dyDescent="0.25">
      <c r="A151" s="24" t="s">
        <v>107</v>
      </c>
      <c r="B151" s="25" t="s">
        <v>1</v>
      </c>
      <c r="C151" s="26" t="s">
        <v>1</v>
      </c>
      <c r="D151" s="25" t="s">
        <v>2</v>
      </c>
      <c r="E151" s="26" t="s">
        <v>2</v>
      </c>
      <c r="F151" s="25" t="s">
        <v>3</v>
      </c>
      <c r="G151" s="26" t="s">
        <v>3</v>
      </c>
      <c r="H151" s="25" t="s">
        <v>4</v>
      </c>
      <c r="I151" s="26" t="s">
        <v>4</v>
      </c>
      <c r="J151" s="25" t="s">
        <v>5</v>
      </c>
      <c r="K151" s="93" t="s">
        <v>5</v>
      </c>
    </row>
    <row r="152" spans="1:17" x14ac:dyDescent="0.25">
      <c r="A152" s="2" t="s">
        <v>0</v>
      </c>
      <c r="B152" s="32">
        <f>C152+Forhandlingsresultat!$E$3</f>
        <v>54410</v>
      </c>
      <c r="C152" s="8">
        <f>57006-2448-2398</f>
        <v>52160</v>
      </c>
      <c r="D152" s="32">
        <f>E152+Forhandlingsresultat!$E$3</f>
        <v>55103</v>
      </c>
      <c r="E152" s="8">
        <f>57730-2479-2398</f>
        <v>52853</v>
      </c>
      <c r="F152" s="32">
        <f>G152+Forhandlingsresultat!$E$3</f>
        <v>55962</v>
      </c>
      <c r="G152" s="8">
        <f>58628-2518-2398</f>
        <v>53712</v>
      </c>
      <c r="H152" s="32">
        <f>I152+Forhandlingsresultat!$E$3</f>
        <v>57752</v>
      </c>
      <c r="I152" s="8">
        <f>60499-2599-2398</f>
        <v>55502</v>
      </c>
      <c r="J152" s="32">
        <f>K152+Forhandlingsresultat!$E$3</f>
        <v>59402</v>
      </c>
      <c r="K152" s="94">
        <f>62223-2673-2398</f>
        <v>57152</v>
      </c>
    </row>
    <row r="153" spans="1:17" x14ac:dyDescent="0.25">
      <c r="A153" s="2" t="s">
        <v>51</v>
      </c>
      <c r="B153" s="80">
        <f>B152/1.797</f>
        <v>30278.241513633835</v>
      </c>
      <c r="C153" s="80"/>
      <c r="D153" s="80">
        <f t="shared" ref="D153" si="12">D152/1.797</f>
        <v>30663.884251530329</v>
      </c>
      <c r="E153" s="80"/>
      <c r="F153" s="80">
        <f t="shared" ref="F153" si="13">F152/1.797</f>
        <v>31141.903171953258</v>
      </c>
      <c r="G153" s="80"/>
      <c r="H153" s="80">
        <f t="shared" ref="H153" si="14">H152/1.797</f>
        <v>32138.007790762382</v>
      </c>
      <c r="I153" s="80"/>
      <c r="J153" s="80">
        <f t="shared" ref="J153" si="15">J152/1.797</f>
        <v>33056.204785754038</v>
      </c>
      <c r="K153" s="94"/>
      <c r="L153" s="91"/>
    </row>
    <row r="154" spans="1:17" x14ac:dyDescent="0.25">
      <c r="A154" s="27" t="s">
        <v>7</v>
      </c>
      <c r="B154" s="31">
        <f>B152*4.5/100</f>
        <v>2448.4499999999998</v>
      </c>
      <c r="C154" s="31"/>
      <c r="D154" s="31">
        <f t="shared" ref="D154" si="16">D152*4.5/100</f>
        <v>2479.6350000000002</v>
      </c>
      <c r="E154" s="31"/>
      <c r="F154" s="31">
        <f t="shared" ref="F154" si="17">F152*4.5/100</f>
        <v>2518.29</v>
      </c>
      <c r="G154" s="31"/>
      <c r="H154" s="31">
        <f t="shared" ref="H154" si="18">H152*4.5/100</f>
        <v>2598.84</v>
      </c>
      <c r="I154" s="31"/>
      <c r="J154" s="31">
        <f t="shared" ref="J154" si="19">J152*4.5/100</f>
        <v>2673.09</v>
      </c>
      <c r="K154" s="102"/>
    </row>
    <row r="155" spans="1:17" ht="15.75" thickBot="1" x14ac:dyDescent="0.3">
      <c r="A155" s="138" t="s">
        <v>19</v>
      </c>
      <c r="B155" s="139">
        <f>$D$207</f>
        <v>2398.3572000000004</v>
      </c>
      <c r="C155" s="139"/>
      <c r="D155" s="139">
        <f>$D$207</f>
        <v>2398.3572000000004</v>
      </c>
      <c r="E155" s="139"/>
      <c r="F155" s="139">
        <f>$D$207</f>
        <v>2398.3572000000004</v>
      </c>
      <c r="G155" s="139"/>
      <c r="H155" s="139">
        <f>$D$207</f>
        <v>2398.3572000000004</v>
      </c>
      <c r="I155" s="139"/>
      <c r="J155" s="139">
        <f>$D$207</f>
        <v>2398.3572000000004</v>
      </c>
      <c r="K155" s="140"/>
      <c r="M155" s="91"/>
      <c r="N155" s="91"/>
    </row>
    <row r="156" spans="1:17" ht="15.75" thickBot="1" x14ac:dyDescent="0.3">
      <c r="A156" s="135" t="s">
        <v>54</v>
      </c>
      <c r="B156" s="136">
        <f>B152+B154+B155</f>
        <v>59256.807199999996</v>
      </c>
      <c r="C156" s="136"/>
      <c r="D156" s="136">
        <f t="shared" ref="D156" si="20">D152+D154+D155</f>
        <v>59980.992200000001</v>
      </c>
      <c r="E156" s="136"/>
      <c r="F156" s="136">
        <f t="shared" ref="F156" si="21">F152+F154+F155</f>
        <v>60878.647199999999</v>
      </c>
      <c r="G156" s="136"/>
      <c r="H156" s="136">
        <f t="shared" ref="H156" si="22">H152+H154+H155</f>
        <v>62749.197199999995</v>
      </c>
      <c r="I156" s="136"/>
      <c r="J156" s="136">
        <f t="shared" ref="J156" si="23">J152+J154+J155</f>
        <v>64473.447199999995</v>
      </c>
      <c r="K156" s="137"/>
    </row>
    <row r="157" spans="1:17" x14ac:dyDescent="0.25">
      <c r="A157" s="125" t="s">
        <v>108</v>
      </c>
      <c r="B157" s="126" t="s">
        <v>1</v>
      </c>
      <c r="C157" s="126" t="s">
        <v>1</v>
      </c>
      <c r="D157" s="126" t="s">
        <v>2</v>
      </c>
      <c r="E157" s="126" t="s">
        <v>2</v>
      </c>
      <c r="F157" s="126" t="s">
        <v>3</v>
      </c>
      <c r="G157" s="126" t="s">
        <v>3</v>
      </c>
      <c r="H157" s="126" t="s">
        <v>4</v>
      </c>
      <c r="I157" s="126" t="s">
        <v>4</v>
      </c>
      <c r="J157" s="126" t="s">
        <v>5</v>
      </c>
      <c r="K157" s="134" t="s">
        <v>5</v>
      </c>
    </row>
    <row r="158" spans="1:17" x14ac:dyDescent="0.25">
      <c r="A158" s="2" t="s">
        <v>0</v>
      </c>
      <c r="B158" s="32">
        <f>C158+Forhandlingsresultat!$E$3</f>
        <v>54410</v>
      </c>
      <c r="C158" s="8">
        <f>57006-2448-2398</f>
        <v>52160</v>
      </c>
      <c r="D158" s="32">
        <f>E158+Forhandlingsresultat!$E$3</f>
        <v>55103</v>
      </c>
      <c r="E158" s="8">
        <f>57730-2479-2398</f>
        <v>52853</v>
      </c>
      <c r="F158" s="32">
        <f>G158+Forhandlingsresultat!$E$3</f>
        <v>55962</v>
      </c>
      <c r="G158" s="8">
        <f>58628-2518-2398</f>
        <v>53712</v>
      </c>
      <c r="H158" s="32">
        <f>I158+Forhandlingsresultat!$E$3</f>
        <v>57752</v>
      </c>
      <c r="I158" s="8">
        <f>60499-2599-2398</f>
        <v>55502</v>
      </c>
      <c r="J158" s="32">
        <f>K158+Forhandlingsresultat!$E$3</f>
        <v>59402</v>
      </c>
      <c r="K158" s="94">
        <f>62223-2673-2398</f>
        <v>57152</v>
      </c>
    </row>
    <row r="159" spans="1:17" x14ac:dyDescent="0.25">
      <c r="A159" s="2" t="s">
        <v>51</v>
      </c>
      <c r="B159" s="80">
        <f>B158/1.797</f>
        <v>30278.241513633835</v>
      </c>
      <c r="C159" s="80"/>
      <c r="D159" s="80">
        <f t="shared" ref="D159" si="24">D158/1.797</f>
        <v>30663.884251530329</v>
      </c>
      <c r="E159" s="80"/>
      <c r="F159" s="80">
        <f t="shared" ref="F159" si="25">F158/1.797</f>
        <v>31141.903171953258</v>
      </c>
      <c r="G159" s="80"/>
      <c r="H159" s="80">
        <f t="shared" ref="H159" si="26">H158/1.797</f>
        <v>32138.007790762382</v>
      </c>
      <c r="I159" s="80"/>
      <c r="J159" s="80">
        <f t="shared" ref="J159" si="27">J158/1.797</f>
        <v>33056.204785754038</v>
      </c>
      <c r="K159" s="94"/>
    </row>
    <row r="160" spans="1:17" x14ac:dyDescent="0.25">
      <c r="A160" s="27" t="s">
        <v>7</v>
      </c>
      <c r="B160" s="31">
        <f>B158*4.5/100</f>
        <v>2448.4499999999998</v>
      </c>
      <c r="C160" s="31"/>
      <c r="D160" s="31">
        <f t="shared" ref="D160" si="28">D158*4.5/100</f>
        <v>2479.6350000000002</v>
      </c>
      <c r="E160" s="31"/>
      <c r="F160" s="31">
        <f t="shared" ref="F160" si="29">F158*4.5/100</f>
        <v>2518.29</v>
      </c>
      <c r="G160" s="31"/>
      <c r="H160" s="31">
        <f t="shared" ref="H160" si="30">H158*4.5/100</f>
        <v>2598.84</v>
      </c>
      <c r="I160" s="31"/>
      <c r="J160" s="31">
        <f t="shared" ref="J160" si="31">J158*4.5/100</f>
        <v>2673.09</v>
      </c>
      <c r="K160" s="102"/>
    </row>
    <row r="161" spans="1:15" x14ac:dyDescent="0.25">
      <c r="A161" s="2" t="s">
        <v>19</v>
      </c>
      <c r="B161" s="31">
        <f>$D$207</f>
        <v>2398.3572000000004</v>
      </c>
      <c r="C161" s="31"/>
      <c r="D161" s="31">
        <f>$D$207</f>
        <v>2398.3572000000004</v>
      </c>
      <c r="E161" s="31"/>
      <c r="F161" s="31">
        <f>$D$207</f>
        <v>2398.3572000000004</v>
      </c>
      <c r="G161" s="31"/>
      <c r="H161" s="31">
        <f>$D$207</f>
        <v>2398.3572000000004</v>
      </c>
      <c r="I161" s="31"/>
      <c r="J161" s="31">
        <f>$D$207</f>
        <v>2398.3572000000004</v>
      </c>
      <c r="K161" s="94"/>
    </row>
    <row r="162" spans="1:15" ht="15.75" thickBot="1" x14ac:dyDescent="0.3">
      <c r="A162" s="16" t="s">
        <v>54</v>
      </c>
      <c r="B162" s="14">
        <f>B158+B160+B161</f>
        <v>59256.807199999996</v>
      </c>
      <c r="C162" s="14"/>
      <c r="D162" s="14">
        <f t="shared" ref="D162" si="32">D158+D160+D161</f>
        <v>59980.992200000001</v>
      </c>
      <c r="E162" s="14"/>
      <c r="F162" s="14">
        <f t="shared" ref="F162" si="33">F158+F160+F161</f>
        <v>60878.647199999999</v>
      </c>
      <c r="G162" s="14"/>
      <c r="H162" s="14">
        <f t="shared" ref="H162" si="34">H158+H160+H161</f>
        <v>62749.197199999995</v>
      </c>
      <c r="I162" s="14"/>
      <c r="J162" s="14">
        <f t="shared" ref="J162" si="35">J158+J160+J161</f>
        <v>64473.447199999995</v>
      </c>
      <c r="K162" s="103"/>
    </row>
    <row r="163" spans="1:15" x14ac:dyDescent="0.25">
      <c r="A163" s="55" t="s">
        <v>52</v>
      </c>
      <c r="B163" s="20">
        <f>(B159*1.4*1.12)/154</f>
        <v>308.28754995699904</v>
      </c>
      <c r="C163" s="20"/>
      <c r="D163" s="20">
        <f t="shared" ref="D163" si="36">(D159*1.4*1.12)/154</f>
        <v>312.21409419739973</v>
      </c>
      <c r="E163" s="20"/>
      <c r="F163" s="20">
        <f t="shared" ref="F163" si="37">(F159*1.4*1.12)/154</f>
        <v>317.081195932615</v>
      </c>
      <c r="G163" s="20"/>
      <c r="H163" s="20">
        <f t="shared" ref="H163" si="38">(H159*1.4*1.12)/154</f>
        <v>327.22335205139882</v>
      </c>
      <c r="I163" s="20"/>
      <c r="J163" s="20">
        <f t="shared" ref="J163" si="39">(J159*1.4*1.12)/154</f>
        <v>336.57226690949568</v>
      </c>
      <c r="K163" s="105"/>
    </row>
    <row r="164" spans="1:15" x14ac:dyDescent="0.25">
      <c r="A164" s="55" t="s">
        <v>53</v>
      </c>
      <c r="B164" s="20">
        <f>(B159*2*1.12)/154</f>
        <v>440.41078565285585</v>
      </c>
      <c r="C164" s="20"/>
      <c r="D164" s="20">
        <f t="shared" ref="D164" si="40">(D159*2*1.12)/154</f>
        <v>446.02013456771391</v>
      </c>
      <c r="E164" s="20"/>
      <c r="F164" s="20">
        <f t="shared" ref="F164" si="41">(F159*2*1.12)/154</f>
        <v>452.97313704659285</v>
      </c>
      <c r="G164" s="20"/>
      <c r="H164" s="20">
        <f t="shared" ref="H164" si="42">(H159*2*1.12)/154</f>
        <v>467.46193150199838</v>
      </c>
      <c r="I164" s="20"/>
      <c r="J164" s="20">
        <f t="shared" ref="J164" si="43">(J159*2*1.12)/154</f>
        <v>480.81752415642245</v>
      </c>
      <c r="K164" s="105"/>
    </row>
    <row r="165" spans="1:15" x14ac:dyDescent="0.25">
      <c r="A165" s="24" t="s">
        <v>13</v>
      </c>
      <c r="B165" s="25" t="s">
        <v>1</v>
      </c>
      <c r="C165" s="26" t="s">
        <v>1</v>
      </c>
      <c r="D165" s="25" t="s">
        <v>2</v>
      </c>
      <c r="E165" s="26" t="s">
        <v>2</v>
      </c>
      <c r="F165" s="25" t="s">
        <v>3</v>
      </c>
      <c r="G165" s="26" t="s">
        <v>3</v>
      </c>
      <c r="H165" s="25" t="s">
        <v>4</v>
      </c>
      <c r="I165" s="26" t="s">
        <v>4</v>
      </c>
      <c r="J165" s="25" t="s">
        <v>5</v>
      </c>
      <c r="K165" s="93" t="s">
        <v>5</v>
      </c>
    </row>
    <row r="166" spans="1:15" x14ac:dyDescent="0.25">
      <c r="A166" s="2" t="s">
        <v>0</v>
      </c>
      <c r="B166" s="32">
        <f>C166+Forhandlingsresultat!$E$3</f>
        <v>51644</v>
      </c>
      <c r="C166" s="8">
        <f>54116-2324-2398</f>
        <v>49394</v>
      </c>
      <c r="D166" s="32">
        <f>E166+Forhandlingsresultat!$E$3</f>
        <v>52246</v>
      </c>
      <c r="E166" s="8">
        <f>54745-2351-2398</f>
        <v>49996</v>
      </c>
      <c r="F166" s="32">
        <f>G166+Forhandlingsresultat!$E$3</f>
        <v>53143</v>
      </c>
      <c r="G166" s="8">
        <f>55682-2391-2398</f>
        <v>50893</v>
      </c>
      <c r="H166" s="32">
        <f>I166+Forhandlingsresultat!$E$3</f>
        <v>54379</v>
      </c>
      <c r="I166" s="8">
        <f>56974-2447-2398</f>
        <v>52129</v>
      </c>
      <c r="J166" s="32">
        <f>K166+Forhandlingsresultat!$E$3</f>
        <v>55701</v>
      </c>
      <c r="K166" s="94">
        <f>58355-2506-2398</f>
        <v>53451</v>
      </c>
    </row>
    <row r="167" spans="1:15" x14ac:dyDescent="0.25">
      <c r="A167" s="2" t="s">
        <v>51</v>
      </c>
      <c r="B167" s="80">
        <f>B166/1.797</f>
        <v>28739.009460211466</v>
      </c>
      <c r="C167" s="80"/>
      <c r="D167" s="80">
        <f t="shared" ref="D167" si="44">D166/1.797</f>
        <v>29074.012242626603</v>
      </c>
      <c r="E167" s="80"/>
      <c r="F167" s="80">
        <f t="shared" ref="F167" si="45">F166/1.797</f>
        <v>29573.1775180857</v>
      </c>
      <c r="G167" s="80"/>
      <c r="H167" s="80">
        <f t="shared" ref="H167" si="46">H166/1.797</f>
        <v>30260.990539788538</v>
      </c>
      <c r="I167" s="80"/>
      <c r="J167" s="80">
        <f t="shared" ref="J167" si="47">J166/1.797</f>
        <v>30996.661101836395</v>
      </c>
      <c r="K167" s="94"/>
      <c r="M167" s="91"/>
    </row>
    <row r="168" spans="1:15" x14ac:dyDescent="0.25">
      <c r="A168" s="27" t="s">
        <v>7</v>
      </c>
      <c r="B168" s="31">
        <f>B166*4.5/100</f>
        <v>2323.98</v>
      </c>
      <c r="C168" s="8"/>
      <c r="D168" s="31">
        <f>D166*4.5/100</f>
        <v>2351.0700000000002</v>
      </c>
      <c r="E168" s="8"/>
      <c r="F168" s="31">
        <f>F166*4.5/100</f>
        <v>2391.4349999999999</v>
      </c>
      <c r="G168" s="8"/>
      <c r="H168" s="31">
        <f>H166*4.5/100</f>
        <v>2447.0549999999998</v>
      </c>
      <c r="I168" s="8"/>
      <c r="J168" s="31">
        <f>J166*4.5/100</f>
        <v>2506.5450000000001</v>
      </c>
      <c r="K168" s="102"/>
      <c r="O168" s="91"/>
    </row>
    <row r="169" spans="1:15" x14ac:dyDescent="0.25">
      <c r="A169" s="27" t="s">
        <v>19</v>
      </c>
      <c r="B169" s="31">
        <f>$D$207</f>
        <v>2398.3572000000004</v>
      </c>
      <c r="C169" s="31"/>
      <c r="D169" s="31">
        <f>$D$207</f>
        <v>2398.3572000000004</v>
      </c>
      <c r="E169" s="31"/>
      <c r="F169" s="31">
        <f>$D$207</f>
        <v>2398.3572000000004</v>
      </c>
      <c r="G169" s="31"/>
      <c r="H169" s="31">
        <f>$D$207</f>
        <v>2398.3572000000004</v>
      </c>
      <c r="I169" s="31"/>
      <c r="J169" s="31">
        <f>$D$207</f>
        <v>2398.3572000000004</v>
      </c>
      <c r="K169" s="102"/>
    </row>
    <row r="170" spans="1:15" ht="15.75" thickBot="1" x14ac:dyDescent="0.3">
      <c r="A170" s="16" t="s">
        <v>54</v>
      </c>
      <c r="B170" s="14">
        <f>B166+B168+B169</f>
        <v>56366.337200000002</v>
      </c>
      <c r="C170" s="14"/>
      <c r="D170" s="14">
        <f t="shared" ref="D170:J170" si="48">D166+D168+D169</f>
        <v>56995.427199999998</v>
      </c>
      <c r="E170" s="14"/>
      <c r="F170" s="14">
        <f t="shared" si="48"/>
        <v>57932.792199999996</v>
      </c>
      <c r="G170" s="14"/>
      <c r="H170" s="14">
        <f t="shared" si="48"/>
        <v>59224.412199999999</v>
      </c>
      <c r="I170" s="14"/>
      <c r="J170" s="14">
        <f t="shared" si="48"/>
        <v>60605.902199999997</v>
      </c>
      <c r="K170" s="103"/>
    </row>
    <row r="171" spans="1:15" x14ac:dyDescent="0.25">
      <c r="A171" s="55" t="s">
        <v>52</v>
      </c>
      <c r="B171" s="20">
        <f>(B167*1.4*1.12)/154</f>
        <v>292.61536904942585</v>
      </c>
      <c r="C171" s="20"/>
      <c r="D171" s="20">
        <f t="shared" ref="D171" si="49">(D167*1.4*1.12)/154</f>
        <v>296.02630647037995</v>
      </c>
      <c r="E171" s="20"/>
      <c r="F171" s="20">
        <f t="shared" ref="F171" si="50">(F167*1.4*1.12)/154</f>
        <v>301.10871654778168</v>
      </c>
      <c r="G171" s="20"/>
      <c r="H171" s="20">
        <f t="shared" ref="H171" si="51">(H167*1.4*1.12)/154</f>
        <v>308.1119036778469</v>
      </c>
      <c r="I171" s="20"/>
      <c r="J171" s="20">
        <f t="shared" ref="J171" si="52">(J167*1.4*1.12)/154</f>
        <v>315.60236758233424</v>
      </c>
      <c r="K171" s="105"/>
    </row>
    <row r="172" spans="1:15" x14ac:dyDescent="0.25">
      <c r="A172" s="55" t="s">
        <v>53</v>
      </c>
      <c r="B172" s="20">
        <f>(B167*2*1.12)/154</f>
        <v>418.02195578489409</v>
      </c>
      <c r="C172" s="20"/>
      <c r="D172" s="20">
        <f t="shared" ref="D172" si="53">(D167*2*1.12)/154</f>
        <v>422.89472352911429</v>
      </c>
      <c r="E172" s="20"/>
      <c r="F172" s="20">
        <f t="shared" ref="F172" si="54">(F167*2*1.12)/154</f>
        <v>430.15530935397391</v>
      </c>
      <c r="G172" s="20"/>
      <c r="H172" s="20">
        <f t="shared" ref="H172" si="55">(H167*2*1.12)/154</f>
        <v>440.15986239692421</v>
      </c>
      <c r="I172" s="20"/>
      <c r="J172" s="20">
        <f t="shared" ref="J172" si="56">(J167*2*1.12)/154</f>
        <v>450.86052511762028</v>
      </c>
      <c r="K172" s="105"/>
    </row>
    <row r="173" spans="1:15" x14ac:dyDescent="0.25">
      <c r="A173" s="24" t="s">
        <v>82</v>
      </c>
      <c r="B173" s="25" t="s">
        <v>1</v>
      </c>
      <c r="C173" s="26" t="s">
        <v>1</v>
      </c>
      <c r="D173" s="25" t="s">
        <v>2</v>
      </c>
      <c r="E173" s="26" t="s">
        <v>2</v>
      </c>
      <c r="F173" s="25" t="s">
        <v>3</v>
      </c>
      <c r="G173" s="26" t="s">
        <v>3</v>
      </c>
      <c r="H173" s="25" t="s">
        <v>4</v>
      </c>
      <c r="I173" s="26" t="s">
        <v>4</v>
      </c>
      <c r="J173" s="25" t="s">
        <v>5</v>
      </c>
      <c r="K173" s="93" t="s">
        <v>5</v>
      </c>
    </row>
    <row r="174" spans="1:15" x14ac:dyDescent="0.25">
      <c r="A174" s="2" t="s">
        <v>0</v>
      </c>
      <c r="B174" s="32">
        <f>C174+Forhandlingsresultat!$E$3</f>
        <v>50390</v>
      </c>
      <c r="C174" s="8">
        <f>52704-2166-2398</f>
        <v>48140</v>
      </c>
      <c r="D174" s="32">
        <f>E174+Forhandlingsresultat!$E$3</f>
        <v>50980</v>
      </c>
      <c r="E174" s="8">
        <f>53321-2193-2398</f>
        <v>48730</v>
      </c>
      <c r="F174" s="32">
        <f>G174+Forhandlingsresultat!$E$3</f>
        <v>51754</v>
      </c>
      <c r="G174" s="8">
        <f>54129-2227-2398</f>
        <v>49504</v>
      </c>
      <c r="H174" s="32">
        <f>I174+Forhandlingsresultat!$E$3</f>
        <v>53076</v>
      </c>
      <c r="I174" s="8">
        <f>55511-2287-2398</f>
        <v>50826</v>
      </c>
      <c r="J174" s="32">
        <f>K174+Forhandlingsresultat!$E$3</f>
        <v>54291</v>
      </c>
      <c r="K174" s="94">
        <f>56780-2341-2398</f>
        <v>52041</v>
      </c>
    </row>
    <row r="175" spans="1:15" x14ac:dyDescent="0.25">
      <c r="A175" s="2" t="s">
        <v>51</v>
      </c>
      <c r="B175" s="80">
        <f>C174/1.797</f>
        <v>26789.092932665553</v>
      </c>
      <c r="C175" s="80"/>
      <c r="D175" s="80">
        <f>E174/1.797</f>
        <v>27117.417918753479</v>
      </c>
      <c r="E175" s="80"/>
      <c r="F175" s="80">
        <f>G174/1.797</f>
        <v>27548.135781858655</v>
      </c>
      <c r="G175" s="80"/>
      <c r="H175" s="80">
        <f>I174/1.797</f>
        <v>28283.806343906512</v>
      </c>
      <c r="I175" s="80"/>
      <c r="J175" s="80">
        <f>K174/1.797</f>
        <v>28959.933222036729</v>
      </c>
      <c r="K175" s="94"/>
      <c r="M175" s="91"/>
    </row>
    <row r="176" spans="1:15" x14ac:dyDescent="0.25">
      <c r="A176" s="27" t="s">
        <v>7</v>
      </c>
      <c r="B176" s="31">
        <f>C174*4.5/100</f>
        <v>2166.3000000000002</v>
      </c>
      <c r="C176" s="8"/>
      <c r="D176" s="31">
        <f>E174*4.5/100</f>
        <v>2192.85</v>
      </c>
      <c r="E176" s="8"/>
      <c r="F176" s="31">
        <f>G174*4.5/100</f>
        <v>2227.6799999999998</v>
      </c>
      <c r="G176" s="8"/>
      <c r="H176" s="31">
        <f>I174*4.5/100</f>
        <v>2287.17</v>
      </c>
      <c r="I176" s="8"/>
      <c r="J176" s="31">
        <f>K174*4.5/100</f>
        <v>2341.8449999999998</v>
      </c>
      <c r="K176" s="102"/>
    </row>
    <row r="177" spans="1:16" x14ac:dyDescent="0.25">
      <c r="A177" s="27" t="s">
        <v>19</v>
      </c>
      <c r="B177" s="31">
        <f>$D$207</f>
        <v>2398.3572000000004</v>
      </c>
      <c r="C177" s="31"/>
      <c r="D177" s="31">
        <f>$D$207</f>
        <v>2398.3572000000004</v>
      </c>
      <c r="E177" s="31"/>
      <c r="F177" s="31">
        <f>$D$207</f>
        <v>2398.3572000000004</v>
      </c>
      <c r="G177" s="31"/>
      <c r="H177" s="31">
        <f>$D$207</f>
        <v>2398.3572000000004</v>
      </c>
      <c r="I177" s="31"/>
      <c r="J177" s="31">
        <f>$D$207</f>
        <v>2398.3572000000004</v>
      </c>
      <c r="K177" s="94"/>
      <c r="N177" s="91"/>
      <c r="O177" s="91"/>
    </row>
    <row r="178" spans="1:16" ht="15.75" thickBot="1" x14ac:dyDescent="0.3">
      <c r="A178" s="16" t="s">
        <v>54</v>
      </c>
      <c r="B178" s="14">
        <f>B174+B176+B177</f>
        <v>54954.657200000001</v>
      </c>
      <c r="C178" s="14"/>
      <c r="D178" s="14">
        <f t="shared" ref="D178:J178" si="57">D174+D176+D177</f>
        <v>55571.207199999997</v>
      </c>
      <c r="E178" s="14"/>
      <c r="F178" s="14">
        <f t="shared" si="57"/>
        <v>56380.037199999999</v>
      </c>
      <c r="G178" s="14"/>
      <c r="H178" s="14">
        <f t="shared" si="57"/>
        <v>57761.527199999997</v>
      </c>
      <c r="I178" s="14"/>
      <c r="J178" s="14">
        <f t="shared" si="57"/>
        <v>59031.2022</v>
      </c>
      <c r="K178" s="103"/>
    </row>
    <row r="179" spans="1:16" x14ac:dyDescent="0.25">
      <c r="A179" s="55" t="s">
        <v>52</v>
      </c>
      <c r="B179" s="20">
        <f>(B175*1.4*1.12)/154</f>
        <v>272.76167349623114</v>
      </c>
      <c r="C179" s="20"/>
      <c r="D179" s="20">
        <f t="shared" ref="D179" si="58">(D175*1.4*1.12)/154</f>
        <v>276.10461880912635</v>
      </c>
      <c r="E179" s="20"/>
      <c r="F179" s="20">
        <f t="shared" ref="F179" si="59">(F175*1.4*1.12)/154</f>
        <v>280.49010977892453</v>
      </c>
      <c r="G179" s="20"/>
      <c r="H179" s="20">
        <f t="shared" ref="H179" si="60">(H175*1.4*1.12)/154</f>
        <v>287.98057368341171</v>
      </c>
      <c r="I179" s="20"/>
      <c r="J179" s="20">
        <f t="shared" ref="J179" si="61">(J175*1.4*1.12)/154</f>
        <v>294.86477462437398</v>
      </c>
      <c r="K179" s="105"/>
    </row>
    <row r="180" spans="1:16" x14ac:dyDescent="0.25">
      <c r="A180" s="55" t="s">
        <v>53</v>
      </c>
      <c r="B180" s="20">
        <f>(B175*2*1.12)/154</f>
        <v>389.65953356604444</v>
      </c>
      <c r="C180" s="20"/>
      <c r="D180" s="20">
        <f t="shared" ref="D180" si="62">(D175*2*1.12)/154</f>
        <v>394.43516972732334</v>
      </c>
      <c r="E180" s="20"/>
      <c r="F180" s="20">
        <f t="shared" ref="F180" si="63">(F175*2*1.12)/154</f>
        <v>400.70015682703502</v>
      </c>
      <c r="G180" s="20"/>
      <c r="H180" s="20">
        <f t="shared" ref="H180" si="64">(H175*2*1.12)/154</f>
        <v>411.40081954773115</v>
      </c>
      <c r="I180" s="20"/>
      <c r="J180" s="20">
        <f t="shared" ref="J180" si="65">(J175*2*1.12)/154</f>
        <v>421.23539232053429</v>
      </c>
      <c r="K180" s="105"/>
    </row>
    <row r="181" spans="1:16" x14ac:dyDescent="0.25">
      <c r="A181" s="24" t="s">
        <v>40</v>
      </c>
      <c r="B181" s="25" t="s">
        <v>22</v>
      </c>
      <c r="C181" s="26" t="s">
        <v>22</v>
      </c>
      <c r="D181" s="25" t="s">
        <v>23</v>
      </c>
      <c r="E181" s="26" t="s">
        <v>23</v>
      </c>
      <c r="F181" s="25" t="s">
        <v>24</v>
      </c>
      <c r="G181" s="26" t="s">
        <v>24</v>
      </c>
      <c r="H181" s="25" t="s">
        <v>25</v>
      </c>
      <c r="I181" s="92" t="s">
        <v>25</v>
      </c>
      <c r="J181"/>
      <c r="K181" s="109"/>
    </row>
    <row r="182" spans="1:16" x14ac:dyDescent="0.25">
      <c r="A182" s="2" t="s">
        <v>0</v>
      </c>
      <c r="B182" s="31">
        <f>$F$136*0.3</f>
        <v>15595.5</v>
      </c>
      <c r="C182" s="31"/>
      <c r="D182" s="31">
        <f>$F$136*0.4</f>
        <v>20794</v>
      </c>
      <c r="E182" s="31"/>
      <c r="F182" s="31">
        <f>$F$136*0.5</f>
        <v>25992.5</v>
      </c>
      <c r="G182" s="31"/>
      <c r="H182" s="31">
        <f>$F$136*0.8</f>
        <v>41588</v>
      </c>
      <c r="I182" s="70"/>
      <c r="J182" s="70"/>
      <c r="K182" s="110"/>
      <c r="L182" s="70"/>
      <c r="M182" s="70"/>
      <c r="N182" s="70"/>
      <c r="O182" s="70"/>
      <c r="P182" s="70"/>
    </row>
    <row r="183" spans="1:16" x14ac:dyDescent="0.25">
      <c r="A183" s="2" t="s">
        <v>51</v>
      </c>
      <c r="B183" s="80">
        <f>B182/1.797</f>
        <v>8678.6310517529218</v>
      </c>
      <c r="C183" s="80"/>
      <c r="D183" s="80">
        <f t="shared" ref="D183" si="66">D182/1.797</f>
        <v>11571.508069003896</v>
      </c>
      <c r="E183" s="80"/>
      <c r="F183" s="80">
        <f t="shared" ref="F183" si="67">F182/1.797</f>
        <v>14464.38508625487</v>
      </c>
      <c r="G183" s="80"/>
      <c r="H183" s="80">
        <f t="shared" ref="H183" si="68">H182/1.797</f>
        <v>23143.016138007792</v>
      </c>
      <c r="I183" s="19"/>
      <c r="J183" s="19"/>
      <c r="K183" s="109"/>
    </row>
    <row r="184" spans="1:16" ht="13.5" customHeight="1" x14ac:dyDescent="0.25">
      <c r="A184" s="27" t="s">
        <v>7</v>
      </c>
      <c r="B184" s="31">
        <f>B182*4.5/100</f>
        <v>701.79750000000001</v>
      </c>
      <c r="C184" s="8"/>
      <c r="D184" s="31">
        <f>D182*4.5/100</f>
        <v>935.73</v>
      </c>
      <c r="E184" s="8"/>
      <c r="F184" s="31">
        <f>F182*4.5/100</f>
        <v>1169.6624999999999</v>
      </c>
      <c r="G184" s="8"/>
      <c r="H184" s="31">
        <f>H182*4.5/100</f>
        <v>1871.46</v>
      </c>
      <c r="I184" s="8"/>
      <c r="J184" s="31"/>
      <c r="K184" s="109"/>
    </row>
    <row r="185" spans="1:16" x14ac:dyDescent="0.25">
      <c r="A185" s="27" t="s">
        <v>19</v>
      </c>
      <c r="B185" s="31">
        <f>$D$207</f>
        <v>2398.3572000000004</v>
      </c>
      <c r="C185" s="31"/>
      <c r="D185" s="31">
        <f>$D$207</f>
        <v>2398.3572000000004</v>
      </c>
      <c r="E185" s="31"/>
      <c r="F185" s="31">
        <f>$D$207</f>
        <v>2398.3572000000004</v>
      </c>
      <c r="G185" s="31"/>
      <c r="H185" s="31">
        <f>$D$207</f>
        <v>2398.3572000000004</v>
      </c>
      <c r="I185" s="8"/>
      <c r="J185" s="31"/>
      <c r="K185" s="109"/>
    </row>
    <row r="186" spans="1:16" ht="15.75" thickBot="1" x14ac:dyDescent="0.3">
      <c r="A186" s="16" t="s">
        <v>54</v>
      </c>
      <c r="B186" s="14">
        <f>B182+B184+B185</f>
        <v>18695.654699999999</v>
      </c>
      <c r="C186" s="14"/>
      <c r="D186" s="14">
        <f t="shared" ref="D186:H186" si="69">D182+D184+D185</f>
        <v>24128.087200000002</v>
      </c>
      <c r="E186" s="14"/>
      <c r="F186" s="14">
        <f t="shared" si="69"/>
        <v>29560.519699999997</v>
      </c>
      <c r="G186" s="14"/>
      <c r="H186" s="14">
        <f t="shared" si="69"/>
        <v>45857.817199999998</v>
      </c>
      <c r="I186"/>
      <c r="J186"/>
      <c r="K186" s="109"/>
    </row>
    <row r="187" spans="1:16" x14ac:dyDescent="0.25">
      <c r="A187" s="55" t="s">
        <v>52</v>
      </c>
      <c r="B187" s="20">
        <f>(B183*1.4*1.12)/154</f>
        <v>88.364243436029753</v>
      </c>
      <c r="C187" s="20"/>
      <c r="D187" s="20">
        <f t="shared" ref="D187" si="70">(D183*1.4*1.12)/154</f>
        <v>117.81899124803967</v>
      </c>
      <c r="E187" s="20"/>
      <c r="F187" s="20">
        <f t="shared" ref="F187" si="71">(F183*1.4*1.12)/154</f>
        <v>147.27373906004959</v>
      </c>
      <c r="G187" s="20"/>
      <c r="H187" s="20">
        <f t="shared" ref="H187" si="72">(H183*1.4*1.12)/154</f>
        <v>235.63798249607933</v>
      </c>
      <c r="I187" s="20"/>
      <c r="J187" s="20"/>
      <c r="K187" s="109"/>
    </row>
    <row r="188" spans="1:16" x14ac:dyDescent="0.25">
      <c r="A188" s="55" t="s">
        <v>53</v>
      </c>
      <c r="B188" s="20">
        <f>(B183*2*1.12)/154</f>
        <v>126.2346334800425</v>
      </c>
      <c r="C188" s="20"/>
      <c r="D188" s="20">
        <f t="shared" ref="D188" si="73">(D183*2*1.12)/154</f>
        <v>168.31284464005668</v>
      </c>
      <c r="E188" s="20"/>
      <c r="F188" s="20">
        <f t="shared" ref="F188" si="74">(F183*2*1.12)/154</f>
        <v>210.39105580007086</v>
      </c>
      <c r="G188" s="20"/>
      <c r="H188" s="20">
        <f t="shared" ref="H188" si="75">(H183*2*1.12)/154</f>
        <v>336.62568928011336</v>
      </c>
      <c r="I188" s="20"/>
      <c r="J188" s="20"/>
      <c r="L188" s="32"/>
      <c r="M188" s="9"/>
      <c r="N188" s="32"/>
      <c r="O188" s="10"/>
    </row>
    <row r="189" spans="1:16" x14ac:dyDescent="0.25">
      <c r="A189" s="55"/>
      <c r="B189" s="20"/>
      <c r="C189" s="20"/>
      <c r="D189" s="20"/>
      <c r="E189" s="20"/>
      <c r="F189" s="20"/>
      <c r="G189" s="20"/>
      <c r="H189" s="20"/>
      <c r="I189" s="20"/>
      <c r="J189" s="20"/>
      <c r="L189" s="32"/>
      <c r="M189" s="9"/>
      <c r="N189" s="32"/>
      <c r="O189" s="10"/>
    </row>
    <row r="190" spans="1:16" s="84" customFormat="1" ht="15.75" x14ac:dyDescent="0.25">
      <c r="A190" s="86" t="s">
        <v>88</v>
      </c>
      <c r="B190" s="82"/>
      <c r="C190" s="82"/>
      <c r="D190" s="82"/>
      <c r="E190" s="82"/>
      <c r="F190" s="82"/>
      <c r="G190" s="82"/>
      <c r="H190" s="82"/>
      <c r="I190" s="82"/>
      <c r="J190" s="82"/>
      <c r="K190" s="111"/>
      <c r="L190" s="82"/>
      <c r="M190" s="82"/>
      <c r="N190" s="82"/>
      <c r="O190" s="83"/>
    </row>
    <row r="191" spans="1:16" x14ac:dyDescent="0.25">
      <c r="A191" s="87" t="s">
        <v>41</v>
      </c>
      <c r="B191" s="11"/>
      <c r="C191" s="11"/>
      <c r="D191" s="9"/>
      <c r="E191" s="32"/>
      <c r="F191" s="9"/>
      <c r="G191" s="32"/>
      <c r="H191" s="9"/>
      <c r="L191" s="32"/>
      <c r="M191" s="9"/>
      <c r="N191" s="32"/>
      <c r="O191" s="10"/>
    </row>
    <row r="192" spans="1:16" x14ac:dyDescent="0.25">
      <c r="A192" s="13"/>
      <c r="B192" s="11"/>
      <c r="C192" s="11"/>
      <c r="D192" s="9"/>
      <c r="E192" s="32"/>
      <c r="F192" s="9"/>
      <c r="G192" s="32"/>
      <c r="H192" s="9"/>
      <c r="L192" s="32"/>
      <c r="M192" s="9"/>
      <c r="N192" s="32"/>
      <c r="O192" s="10"/>
    </row>
    <row r="193" spans="1:15" x14ac:dyDescent="0.25">
      <c r="A193" s="17" t="s">
        <v>48</v>
      </c>
      <c r="B193" s="17"/>
      <c r="C193" s="17"/>
      <c r="D193" s="9"/>
      <c r="E193" s="32"/>
      <c r="F193" s="9"/>
      <c r="G193" s="32"/>
      <c r="H193" s="9"/>
      <c r="L193" s="32"/>
      <c r="M193" s="9"/>
      <c r="N193" s="32"/>
      <c r="O193" s="10"/>
    </row>
    <row r="194" spans="1:15" x14ac:dyDescent="0.25">
      <c r="A194" s="18" t="s">
        <v>42</v>
      </c>
      <c r="B194" s="17" t="s">
        <v>43</v>
      </c>
      <c r="C194" s="17"/>
      <c r="D194" s="9"/>
      <c r="E194" s="32"/>
      <c r="F194" s="9"/>
      <c r="G194" s="32"/>
      <c r="H194" s="9"/>
      <c r="L194" s="32"/>
      <c r="M194" s="9"/>
      <c r="N194" s="32"/>
      <c r="O194" s="10"/>
    </row>
    <row r="195" spans="1:15" x14ac:dyDescent="0.25">
      <c r="D195" s="9"/>
      <c r="E195" s="32"/>
      <c r="F195" s="9"/>
      <c r="G195" s="32"/>
      <c r="H195" s="9"/>
      <c r="L195" s="32"/>
      <c r="M195" s="9"/>
      <c r="N195" s="32"/>
      <c r="O195" s="10"/>
    </row>
    <row r="196" spans="1:15" x14ac:dyDescent="0.25">
      <c r="A196" s="72" t="s">
        <v>46</v>
      </c>
      <c r="D196" s="73" t="s">
        <v>44</v>
      </c>
      <c r="F196" s="9"/>
      <c r="G196" s="32"/>
      <c r="H196" s="9"/>
      <c r="L196" s="72"/>
      <c r="M196" s="9"/>
      <c r="N196" s="32"/>
      <c r="O196" s="10"/>
    </row>
    <row r="197" spans="1:15" x14ac:dyDescent="0.25">
      <c r="A197" s="72"/>
      <c r="D197" s="72">
        <v>154</v>
      </c>
      <c r="F197" s="9"/>
      <c r="G197" s="32"/>
      <c r="H197" s="9"/>
      <c r="L197" s="32"/>
      <c r="M197" s="9"/>
      <c r="N197" s="32"/>
      <c r="O197" s="10"/>
    </row>
    <row r="198" spans="1:15" x14ac:dyDescent="0.25">
      <c r="F198" s="9"/>
      <c r="G198" s="32"/>
      <c r="H198" s="9"/>
      <c r="L198" s="32"/>
      <c r="M198" s="9"/>
      <c r="N198" s="32"/>
      <c r="O198" s="10"/>
    </row>
    <row r="199" spans="1:15" x14ac:dyDescent="0.25">
      <c r="A199" s="72" t="s">
        <v>47</v>
      </c>
      <c r="D199" s="12" t="s">
        <v>45</v>
      </c>
      <c r="F199" s="9"/>
      <c r="G199" s="32"/>
      <c r="H199" s="9"/>
      <c r="L199" s="72"/>
      <c r="M199" s="9"/>
      <c r="N199" s="32"/>
      <c r="O199" s="10"/>
    </row>
    <row r="200" spans="1:15" x14ac:dyDescent="0.25">
      <c r="D200" s="32">
        <v>154</v>
      </c>
      <c r="F200" s="9"/>
      <c r="G200" s="32"/>
      <c r="H200" s="9"/>
      <c r="L200" s="32"/>
      <c r="M200" s="9"/>
      <c r="N200" s="32"/>
      <c r="O200" s="10"/>
    </row>
    <row r="201" spans="1:15" x14ac:dyDescent="0.25">
      <c r="F201" s="9"/>
      <c r="G201" s="32"/>
      <c r="H201" s="9"/>
      <c r="L201" s="32"/>
      <c r="M201" s="9"/>
      <c r="N201" s="32"/>
      <c r="O201" s="10"/>
    </row>
    <row r="202" spans="1:15" s="45" customFormat="1" x14ac:dyDescent="0.25">
      <c r="A202" s="85" t="s">
        <v>89</v>
      </c>
      <c r="B202" s="9"/>
      <c r="C202" s="9"/>
      <c r="D202" s="9"/>
      <c r="E202" s="9"/>
      <c r="F202" s="9"/>
      <c r="G202" s="9"/>
      <c r="H202" s="9"/>
      <c r="I202" s="9"/>
      <c r="J202" s="9"/>
      <c r="K202" s="95"/>
      <c r="L202" s="9"/>
      <c r="M202" s="9"/>
      <c r="N202" s="9"/>
      <c r="O202" s="10"/>
    </row>
    <row r="203" spans="1:15" x14ac:dyDescent="0.25">
      <c r="A203" s="81" t="s">
        <v>90</v>
      </c>
      <c r="B203" s="81"/>
      <c r="C203" s="9"/>
      <c r="F203" s="9"/>
      <c r="G203" s="32"/>
      <c r="H203" s="9"/>
      <c r="L203" s="32"/>
      <c r="M203" s="9"/>
      <c r="N203" s="32"/>
      <c r="O203" s="10"/>
    </row>
    <row r="204" spans="1:15" x14ac:dyDescent="0.25">
      <c r="A204" s="81"/>
      <c r="B204" s="81"/>
      <c r="C204" s="9"/>
      <c r="F204" s="9"/>
      <c r="G204" s="32"/>
      <c r="H204" s="9"/>
      <c r="L204" s="32"/>
      <c r="M204" s="9"/>
      <c r="N204" s="32"/>
      <c r="O204" s="10"/>
    </row>
    <row r="205" spans="1:15" x14ac:dyDescent="0.25">
      <c r="A205" s="81" t="s">
        <v>135</v>
      </c>
      <c r="B205" s="81"/>
      <c r="C205" s="9"/>
      <c r="F205" s="9"/>
      <c r="G205" s="32"/>
      <c r="H205" s="9"/>
      <c r="L205" s="32"/>
      <c r="M205" s="9"/>
      <c r="N205" s="32"/>
      <c r="O205" s="10"/>
    </row>
    <row r="206" spans="1:15" ht="15.75" thickBot="1" x14ac:dyDescent="0.3">
      <c r="F206" s="9"/>
      <c r="G206" s="32"/>
      <c r="H206" s="9"/>
      <c r="L206" s="32"/>
      <c r="M206" s="9"/>
      <c r="N206" s="32"/>
      <c r="O206" s="10"/>
    </row>
    <row r="207" spans="1:15" ht="15.75" thickBot="1" x14ac:dyDescent="0.3">
      <c r="A207" s="155" t="s">
        <v>19</v>
      </c>
      <c r="B207" s="155"/>
      <c r="C207" s="155"/>
      <c r="D207" s="74">
        <f>E207*Forhandlingsresultat!$E$6</f>
        <v>2398.3572000000004</v>
      </c>
      <c r="E207" s="78">
        <v>2307</v>
      </c>
      <c r="F207" s="9"/>
      <c r="G207" s="32"/>
      <c r="H207" s="9"/>
      <c r="L207" s="32"/>
      <c r="M207" s="9"/>
      <c r="N207" s="32"/>
      <c r="O207" s="10"/>
    </row>
    <row r="208" spans="1:15" x14ac:dyDescent="0.25">
      <c r="A208" s="155" t="s">
        <v>8</v>
      </c>
      <c r="B208" s="155"/>
      <c r="C208" s="155"/>
      <c r="D208" s="74">
        <f>E208*Forhandlingsresultat!$E$6</f>
        <v>205.8408</v>
      </c>
      <c r="E208" s="78">
        <v>198</v>
      </c>
      <c r="F208" s="9"/>
      <c r="G208" s="32"/>
      <c r="H208" s="9"/>
      <c r="L208" s="32"/>
      <c r="M208" s="9"/>
      <c r="N208" s="32"/>
      <c r="O208" s="10"/>
    </row>
    <row r="209" spans="1:16" ht="9.75" customHeight="1" x14ac:dyDescent="0.25">
      <c r="A209" s="155"/>
      <c r="B209" s="155"/>
      <c r="C209" s="155"/>
      <c r="F209" s="9"/>
      <c r="G209" s="32"/>
      <c r="H209" s="9"/>
      <c r="L209" s="32"/>
      <c r="M209" s="9"/>
      <c r="N209" s="32"/>
      <c r="O209" s="10"/>
    </row>
    <row r="210" spans="1:16" x14ac:dyDescent="0.25">
      <c r="A210" s="161" t="s">
        <v>50</v>
      </c>
      <c r="B210" s="161"/>
      <c r="C210" s="161"/>
      <c r="D210"/>
      <c r="E210" s="45"/>
      <c r="F210"/>
      <c r="G210" s="32"/>
      <c r="H210" s="10"/>
      <c r="I210"/>
      <c r="J210"/>
      <c r="K210" s="109"/>
      <c r="N210" s="32"/>
      <c r="O210" s="10"/>
    </row>
    <row r="211" spans="1:16" x14ac:dyDescent="0.25">
      <c r="A211" s="153" t="s">
        <v>74</v>
      </c>
      <c r="B211" s="153"/>
      <c r="C211" s="153"/>
      <c r="E211" s="45"/>
      <c r="F211"/>
      <c r="G211"/>
      <c r="H211"/>
      <c r="I211"/>
      <c r="J211"/>
      <c r="K211" s="109"/>
      <c r="N211" s="32"/>
      <c r="O211" s="10"/>
    </row>
    <row r="212" spans="1:16" x14ac:dyDescent="0.25">
      <c r="A212" s="162" t="s">
        <v>91</v>
      </c>
      <c r="B212" s="162"/>
      <c r="C212" s="162"/>
      <c r="D212"/>
      <c r="E212" s="45"/>
      <c r="F212"/>
      <c r="G212"/>
      <c r="H212"/>
      <c r="I212"/>
      <c r="J212"/>
      <c r="K212" s="109"/>
    </row>
    <row r="213" spans="1:16" s="3" customFormat="1" ht="15.75" x14ac:dyDescent="0.25">
      <c r="A213" s="154" t="s">
        <v>75</v>
      </c>
      <c r="B213" s="154"/>
      <c r="C213" s="154"/>
      <c r="D213" s="74">
        <f>E213*Forhandlingsresultat!$E$6</f>
        <v>2511.6736000000001</v>
      </c>
      <c r="E213" s="79">
        <v>2416</v>
      </c>
      <c r="F213" s="151" t="s">
        <v>56</v>
      </c>
      <c r="G213" s="151"/>
      <c r="H213"/>
      <c r="I213"/>
      <c r="J213"/>
      <c r="K213" s="109"/>
      <c r="L213"/>
      <c r="M213"/>
      <c r="N213"/>
      <c r="O213"/>
      <c r="P213"/>
    </row>
    <row r="214" spans="1:16" x14ac:dyDescent="0.25">
      <c r="A214" s="150" t="s">
        <v>92</v>
      </c>
      <c r="B214" s="150"/>
      <c r="C214" s="150"/>
      <c r="D214" s="74">
        <f>E214*Forhandlingsresultat!$E$6</f>
        <v>575.9384</v>
      </c>
      <c r="E214" s="79">
        <v>554</v>
      </c>
      <c r="F214" s="152" t="s">
        <v>59</v>
      </c>
      <c r="G214" s="152"/>
      <c r="H214"/>
      <c r="I214"/>
      <c r="J214"/>
      <c r="K214" s="109"/>
    </row>
    <row r="215" spans="1:16" x14ac:dyDescent="0.25">
      <c r="A215" s="150" t="s">
        <v>76</v>
      </c>
      <c r="B215" s="150"/>
      <c r="C215" s="150"/>
      <c r="D215" s="74">
        <f>E215*Forhandlingsresultat!$E$6</f>
        <v>827.52160000000003</v>
      </c>
      <c r="E215" s="79">
        <v>796</v>
      </c>
      <c r="F215" s="163" t="s">
        <v>56</v>
      </c>
      <c r="G215" s="163"/>
      <c r="H215" s="10"/>
      <c r="I215"/>
      <c r="J215"/>
      <c r="K215" s="109"/>
      <c r="N215" s="32"/>
      <c r="O215" s="10"/>
    </row>
    <row r="216" spans="1:16" x14ac:dyDescent="0.25">
      <c r="A216" s="150" t="s">
        <v>73</v>
      </c>
      <c r="B216" s="150"/>
      <c r="C216" s="150"/>
      <c r="D216" s="74">
        <f>E216*Forhandlingsresultat!$E$6</f>
        <v>639.35400000000004</v>
      </c>
      <c r="E216" s="47">
        <v>615</v>
      </c>
      <c r="F216" s="151" t="s">
        <v>56</v>
      </c>
      <c r="G216" s="151"/>
    </row>
    <row r="217" spans="1:16" x14ac:dyDescent="0.25">
      <c r="A217" s="150" t="s">
        <v>72</v>
      </c>
      <c r="B217" s="150"/>
      <c r="C217" s="150"/>
      <c r="D217" s="74">
        <f>E217*Forhandlingsresultat!$E$6</f>
        <v>1404.4996000000001</v>
      </c>
      <c r="E217" s="47">
        <v>1351</v>
      </c>
      <c r="F217" s="151" t="s">
        <v>56</v>
      </c>
      <c r="G217" s="151"/>
      <c r="H217"/>
      <c r="I217"/>
      <c r="J217"/>
      <c r="K217" s="109"/>
    </row>
    <row r="218" spans="1:16" x14ac:dyDescent="0.25">
      <c r="A218" s="150" t="s">
        <v>131</v>
      </c>
      <c r="B218" s="150"/>
      <c r="C218" s="150"/>
      <c r="D218" s="150"/>
      <c r="E218" s="150"/>
      <c r="F218" s="151"/>
      <c r="G218" s="151"/>
      <c r="H218"/>
      <c r="I218"/>
      <c r="J218"/>
      <c r="K218" s="109"/>
    </row>
    <row r="219" spans="1:16" x14ac:dyDescent="0.25">
      <c r="A219" s="150" t="s">
        <v>93</v>
      </c>
      <c r="B219" s="150"/>
      <c r="C219" s="150"/>
      <c r="D219" s="74"/>
      <c r="E219" s="47"/>
      <c r="F219" s="151"/>
      <c r="G219" s="151"/>
      <c r="H219"/>
      <c r="I219"/>
      <c r="J219"/>
      <c r="K219" s="109"/>
    </row>
    <row r="220" spans="1:16" x14ac:dyDescent="0.25">
      <c r="A220" s="150" t="s">
        <v>123</v>
      </c>
      <c r="B220" s="150"/>
      <c r="C220" s="150"/>
      <c r="D220" s="74">
        <f>E220*Forhandlingsresultat!$E$6</f>
        <v>328.5136</v>
      </c>
      <c r="E220" s="128">
        <v>316</v>
      </c>
      <c r="F220" s="151" t="s">
        <v>56</v>
      </c>
      <c r="G220" s="151"/>
      <c r="H220" s="10"/>
      <c r="I220"/>
      <c r="J220"/>
      <c r="K220" s="109"/>
      <c r="N220" s="32"/>
      <c r="O220" s="10"/>
    </row>
    <row r="221" spans="1:16" ht="30" x14ac:dyDescent="0.25">
      <c r="A221" s="130" t="s">
        <v>132</v>
      </c>
      <c r="B221" s="131"/>
      <c r="C221" s="132"/>
      <c r="D221" s="74">
        <f>E221*Forhandlingsresultat!$E$6</f>
        <v>218.31600000000003</v>
      </c>
      <c r="E221" s="128">
        <v>210</v>
      </c>
      <c r="F221" s="151" t="s">
        <v>94</v>
      </c>
      <c r="G221" s="151"/>
      <c r="H221" s="10"/>
      <c r="I221"/>
      <c r="J221"/>
      <c r="K221" s="109"/>
      <c r="N221" s="32"/>
      <c r="O221" s="10"/>
    </row>
    <row r="222" spans="1:16" x14ac:dyDescent="0.25">
      <c r="A222" s="150" t="s">
        <v>124</v>
      </c>
      <c r="B222" s="150"/>
      <c r="C222" s="150"/>
      <c r="D222" s="74">
        <f>E222*Forhandlingsresultat!$E$6</f>
        <v>328.5136</v>
      </c>
      <c r="E222" s="128">
        <v>316</v>
      </c>
      <c r="F222" s="151" t="s">
        <v>56</v>
      </c>
      <c r="G222" s="151"/>
      <c r="H222" s="10"/>
      <c r="I222"/>
      <c r="J222"/>
      <c r="K222" s="109"/>
      <c r="N222" s="32"/>
      <c r="O222" s="10"/>
    </row>
    <row r="223" spans="1:16" s="27" customFormat="1" x14ac:dyDescent="0.25">
      <c r="A223" s="150" t="s">
        <v>125</v>
      </c>
      <c r="B223" s="150"/>
      <c r="C223" s="150"/>
      <c r="D223" s="74">
        <f>E223*Forhandlingsresultat!$E$6</f>
        <v>2599</v>
      </c>
      <c r="E223" s="129">
        <v>2500</v>
      </c>
      <c r="F223" s="151" t="s">
        <v>56</v>
      </c>
      <c r="G223" s="151"/>
      <c r="H223" s="117"/>
      <c r="K223" s="64"/>
      <c r="N223" s="31"/>
      <c r="O223" s="117"/>
    </row>
    <row r="224" spans="1:16" s="27" customFormat="1" x14ac:dyDescent="0.25">
      <c r="A224" s="150" t="s">
        <v>126</v>
      </c>
      <c r="B224" s="150"/>
      <c r="C224" s="150"/>
      <c r="D224" s="74">
        <v>400</v>
      </c>
      <c r="E224" s="129"/>
      <c r="F224" s="151" t="s">
        <v>56</v>
      </c>
      <c r="G224" s="151"/>
      <c r="H224" s="117"/>
      <c r="K224" s="64"/>
      <c r="N224" s="31"/>
      <c r="O224" s="117"/>
    </row>
    <row r="225" spans="1:15" s="27" customFormat="1" x14ac:dyDescent="0.25">
      <c r="A225" s="150" t="s">
        <v>127</v>
      </c>
      <c r="B225" s="150"/>
      <c r="C225" s="150"/>
      <c r="D225" s="74">
        <v>1500</v>
      </c>
      <c r="E225" s="129"/>
      <c r="F225" s="151" t="s">
        <v>56</v>
      </c>
      <c r="G225" s="151"/>
      <c r="H225" s="117"/>
      <c r="K225" s="64"/>
      <c r="N225" s="31"/>
      <c r="O225" s="117"/>
    </row>
    <row r="227" spans="1:15" x14ac:dyDescent="0.25">
      <c r="A227" s="155" t="s">
        <v>57</v>
      </c>
      <c r="B227" s="155"/>
      <c r="C227" s="155"/>
      <c r="D227"/>
      <c r="E227" s="45"/>
      <c r="F227"/>
      <c r="G227" s="32"/>
      <c r="H227" s="10"/>
      <c r="I227"/>
      <c r="J227"/>
      <c r="K227" s="109"/>
      <c r="N227" s="32"/>
      <c r="O227" s="10"/>
    </row>
    <row r="228" spans="1:15" x14ac:dyDescent="0.25">
      <c r="A228" s="150" t="s">
        <v>87</v>
      </c>
      <c r="B228" s="150"/>
      <c r="C228" s="150"/>
      <c r="D228"/>
      <c r="E228" s="45"/>
      <c r="F228"/>
      <c r="G228" s="32"/>
      <c r="H228" s="10"/>
      <c r="I228"/>
      <c r="J228"/>
      <c r="K228" s="109"/>
      <c r="N228" s="32"/>
      <c r="O228" s="10"/>
    </row>
    <row r="229" spans="1:15" x14ac:dyDescent="0.25">
      <c r="A229" s="124" t="s">
        <v>134</v>
      </c>
      <c r="B229" s="124"/>
      <c r="C229" s="124"/>
      <c r="D229"/>
      <c r="E229" s="45"/>
      <c r="F229"/>
      <c r="G229" s="32"/>
      <c r="H229" s="10"/>
      <c r="I229"/>
      <c r="J229"/>
      <c r="K229" s="109"/>
      <c r="N229" s="32"/>
      <c r="O229" s="10"/>
    </row>
    <row r="230" spans="1:15" x14ac:dyDescent="0.25">
      <c r="A230" s="153" t="s">
        <v>86</v>
      </c>
      <c r="B230" s="153"/>
      <c r="C230" s="153"/>
      <c r="D230"/>
      <c r="E230" s="45"/>
      <c r="F230"/>
      <c r="G230" s="32"/>
      <c r="H230" s="10"/>
      <c r="I230"/>
      <c r="J230"/>
      <c r="K230" s="109"/>
      <c r="N230" s="32"/>
      <c r="O230" s="10"/>
    </row>
    <row r="231" spans="1:15" x14ac:dyDescent="0.25">
      <c r="A231" s="153" t="s">
        <v>112</v>
      </c>
      <c r="B231" s="153"/>
      <c r="C231" s="153"/>
      <c r="D231"/>
      <c r="E231" s="45"/>
      <c r="F231"/>
      <c r="G231"/>
      <c r="H231"/>
      <c r="I231"/>
      <c r="J231"/>
      <c r="K231" s="109"/>
    </row>
  </sheetData>
  <mergeCells count="41">
    <mergeCell ref="A207:C207"/>
    <mergeCell ref="A31:O31"/>
    <mergeCell ref="A44:O44"/>
    <mergeCell ref="F220:G220"/>
    <mergeCell ref="F222:G222"/>
    <mergeCell ref="A70:O70"/>
    <mergeCell ref="A59:O59"/>
    <mergeCell ref="A85:O85"/>
    <mergeCell ref="A217:C217"/>
    <mergeCell ref="F217:G217"/>
    <mergeCell ref="A210:C210"/>
    <mergeCell ref="A212:C212"/>
    <mergeCell ref="F213:G213"/>
    <mergeCell ref="F215:G215"/>
    <mergeCell ref="A208:C208"/>
    <mergeCell ref="A209:C209"/>
    <mergeCell ref="F216:G216"/>
    <mergeCell ref="F214:G214"/>
    <mergeCell ref="A211:C211"/>
    <mergeCell ref="A231:C231"/>
    <mergeCell ref="A215:C215"/>
    <mergeCell ref="A218:C218"/>
    <mergeCell ref="A213:C213"/>
    <mergeCell ref="A214:C214"/>
    <mergeCell ref="A230:C230"/>
    <mergeCell ref="A216:C216"/>
    <mergeCell ref="A227:C227"/>
    <mergeCell ref="A228:C228"/>
    <mergeCell ref="F224:G224"/>
    <mergeCell ref="F225:G225"/>
    <mergeCell ref="D218:E218"/>
    <mergeCell ref="A219:C219"/>
    <mergeCell ref="A225:C225"/>
    <mergeCell ref="F218:G218"/>
    <mergeCell ref="F219:G219"/>
    <mergeCell ref="F221:G221"/>
    <mergeCell ref="F223:G223"/>
    <mergeCell ref="A220:C220"/>
    <mergeCell ref="A222:C222"/>
    <mergeCell ref="A223:C223"/>
    <mergeCell ref="A224:C224"/>
  </mergeCells>
  <phoneticPr fontId="22" type="noConversion"/>
  <printOptions gridLines="1"/>
  <pageMargins left="0.39370078740157483" right="0.43307086614173229" top="0.35433070866141736" bottom="0.55118110236220474" header="0.31496062992125984" footer="0.31496062992125984"/>
  <pageSetup paperSize="9" scale="90" fitToHeight="0" orientation="landscape" r:id="rId1"/>
  <rowBreaks count="4" manualBreakCount="4">
    <brk id="30" max="16383" man="1"/>
    <brk id="102" max="16383" man="1"/>
    <brk id="142" max="16383" man="1"/>
    <brk id="1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493DA-10C4-48BA-ABE5-C3DFC61555AC}">
  <dimension ref="A2:B18"/>
  <sheetViews>
    <sheetView workbookViewId="0">
      <selection activeCell="B26" sqref="B26"/>
    </sheetView>
  </sheetViews>
  <sheetFormatPr baseColWidth="10" defaultColWidth="11.42578125" defaultRowHeight="15" x14ac:dyDescent="0.25"/>
  <cols>
    <col min="1" max="1" width="16.85546875" customWidth="1"/>
    <col min="2" max="2" width="134.42578125" customWidth="1"/>
  </cols>
  <sheetData>
    <row r="2" spans="1:2" x14ac:dyDescent="0.25">
      <c r="A2" s="164" t="s">
        <v>103</v>
      </c>
      <c r="B2" s="164"/>
    </row>
    <row r="4" spans="1:2" x14ac:dyDescent="0.25">
      <c r="A4" s="122" t="s">
        <v>101</v>
      </c>
      <c r="B4" s="122" t="s">
        <v>102</v>
      </c>
    </row>
    <row r="5" spans="1:2" x14ac:dyDescent="0.25">
      <c r="A5" s="123">
        <v>45706</v>
      </c>
      <c r="B5" s="115" t="s">
        <v>116</v>
      </c>
    </row>
    <row r="6" spans="1:2" x14ac:dyDescent="0.25">
      <c r="A6" s="123"/>
      <c r="B6" s="115" t="s">
        <v>118</v>
      </c>
    </row>
    <row r="7" spans="1:2" x14ac:dyDescent="0.25">
      <c r="A7" s="123"/>
      <c r="B7" s="115" t="s">
        <v>119</v>
      </c>
    </row>
    <row r="8" spans="1:2" x14ac:dyDescent="0.25">
      <c r="A8" s="123"/>
      <c r="B8" s="115" t="s">
        <v>120</v>
      </c>
    </row>
    <row r="9" spans="1:2" x14ac:dyDescent="0.25">
      <c r="A9" s="115"/>
      <c r="B9" s="115" t="s">
        <v>121</v>
      </c>
    </row>
    <row r="10" spans="1:2" x14ac:dyDescent="0.25">
      <c r="A10" s="115"/>
      <c r="B10" s="115" t="s">
        <v>122</v>
      </c>
    </row>
    <row r="11" spans="1:2" x14ac:dyDescent="0.25">
      <c r="A11" s="115"/>
      <c r="B11" s="115"/>
    </row>
    <row r="12" spans="1:2" x14ac:dyDescent="0.25">
      <c r="A12" s="115"/>
      <c r="B12" s="115"/>
    </row>
    <row r="13" spans="1:2" x14ac:dyDescent="0.25">
      <c r="A13" s="115"/>
      <c r="B13" s="115"/>
    </row>
    <row r="14" spans="1:2" x14ac:dyDescent="0.25">
      <c r="A14" s="115"/>
      <c r="B14" s="115"/>
    </row>
    <row r="15" spans="1:2" x14ac:dyDescent="0.25">
      <c r="A15" s="115"/>
      <c r="B15" s="115"/>
    </row>
    <row r="16" spans="1:2" x14ac:dyDescent="0.25">
      <c r="A16" s="115"/>
      <c r="B16" s="115"/>
    </row>
    <row r="17" spans="1:2" x14ac:dyDescent="0.25">
      <c r="A17" s="115"/>
      <c r="B17" s="115"/>
    </row>
    <row r="18" spans="1:2" x14ac:dyDescent="0.25">
      <c r="A18" s="115"/>
      <c r="B18" s="115"/>
    </row>
  </sheetData>
  <mergeCells count="1">
    <mergeCell ref="A2:B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aksdokument" ma:contentTypeID="0x010100C21C21DB6D3BED4BA044FA92E61612E8008F6DBDF41610D247B2534EEDA300F05F" ma:contentTypeVersion="15" ma:contentTypeDescription="Opprett et nytt dokument." ma:contentTypeScope="" ma:versionID="8f1691ecaae61d6fd3cd7e2cedd7005d">
  <xsd:schema xmlns:xsd="http://www.w3.org/2001/XMLSchema" xmlns:xs="http://www.w3.org/2001/XMLSchema" xmlns:p="http://schemas.microsoft.com/office/2006/metadata/properties" xmlns:ns2="1a3bd293-e230-494d-ae11-97895f9ef522" xmlns:ns3="f97540e0-c841-4800-be40-a5c7c79739b0" targetNamespace="http://schemas.microsoft.com/office/2006/metadata/properties" ma:root="true" ma:fieldsID="46b5fa170727b42acd8122885bd6cb13" ns2:_="" ns3:_="">
    <xsd:import namespace="1a3bd293-e230-494d-ae11-97895f9ef522"/>
    <xsd:import namespace="f97540e0-c841-4800-be40-a5c7c79739b0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ContactPerson" minOccurs="0"/>
                <xsd:element ref="ns2:ContactPersonCompany" minOccurs="0"/>
                <xsd:element ref="ns2:ContactPersonCompanyID" minOccurs="0"/>
                <xsd:element ref="ns2:ContactPersonID" minOccurs="0"/>
                <xsd:element ref="ns2:RichDescription" minOccurs="0"/>
                <xsd:element ref="ns2:MailDate" minOccurs="0"/>
                <xsd:element ref="ns2:Direction" minOccurs="0"/>
                <xsd:element ref="ns2:DocLink" minOccurs="0"/>
                <xsd:element ref="ns2:ConversationIndex" minOccurs="0"/>
                <xsd:element ref="ns2:ConversationID" minOccurs="0"/>
                <xsd:element ref="ns2:ConversationTopic" minOccurs="0"/>
                <xsd:element ref="ns2:EmailId" minOccurs="0"/>
                <xsd:element ref="ns2:CaseNo" minOccurs="0"/>
                <xsd:element ref="ns2:CaseTitle" minOccurs="0"/>
                <xsd:element ref="ns2:ParentCaseNo" minOccurs="0"/>
                <xsd:element ref="ns2:ParentCaseTitle" minOccurs="0"/>
                <xsd:element ref="ns2:MailTo" minOccurs="0"/>
                <xsd:element ref="ns2:MailCC" minOccurs="0"/>
                <xsd:element ref="ns2:MailFrom" minOccurs="0"/>
                <xsd:element ref="ns2:DocContentType" minOccurs="0"/>
                <xsd:element ref="ns2:NewDocumentsFromNonResponsibl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bd293-e230-494d-ae11-97895f9ef522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kumenttype" ma:internalName="DocumentType">
      <xsd:simpleType>
        <xsd:restriction base="dms:Choice">
          <xsd:enumeration value="E-post"/>
          <xsd:enumeration value="Dokument"/>
          <xsd:enumeration value="Regneark"/>
          <xsd:enumeration value="PDF"/>
          <xsd:enumeration value="Presentasjon"/>
          <xsd:enumeration value="Bilde"/>
          <xsd:enumeration value="Skjema"/>
          <xsd:enumeration value="Tegning"/>
          <xsd:enumeration value="Excel"/>
          <xsd:enumeration value="Word"/>
          <xsd:enumeration value="Powerpoint"/>
        </xsd:restriction>
      </xsd:simpleType>
    </xsd:element>
    <xsd:element name="ContactPerson" ma:index="9" nillable="true" ma:displayName="Kontaktperson" ma:internalName="ContactPerson">
      <xsd:simpleType>
        <xsd:restriction base="dms:Text"/>
      </xsd:simpleType>
    </xsd:element>
    <xsd:element name="ContactPersonCompany" ma:index="10" nillable="true" ma:displayName="Kontaktperson selskap" ma:internalName="ContactPersonCompany">
      <xsd:simpleType>
        <xsd:restriction base="dms:Text"/>
      </xsd:simpleType>
    </xsd:element>
    <xsd:element name="ContactPersonCompanyID" ma:index="11" nillable="true" ma:displayName="Kontaktperson selskap ID" ma:internalName="ContactPersonCompanyID">
      <xsd:simpleType>
        <xsd:restriction base="dms:Text"/>
      </xsd:simpleType>
    </xsd:element>
    <xsd:element name="ContactPersonID" ma:index="12" nillable="true" ma:displayName="Kontaktperson ID" ma:internalName="ContactPersonID">
      <xsd:simpleType>
        <xsd:restriction base="dms:Text"/>
      </xsd:simpleType>
    </xsd:element>
    <xsd:element name="RichDescription" ma:index="13" nillable="true" ma:displayName="Beskrivelse" ma:hidden="true" ma:internalName="RichDescription">
      <xsd:simpleType>
        <xsd:restriction base="dms:Note"/>
      </xsd:simpleType>
    </xsd:element>
    <xsd:element name="MailDate" ma:index="14" nillable="true" ma:displayName="E-post dato" ma:format="DateTime" ma:internalName="MailDate">
      <xsd:simpleType>
        <xsd:restriction base="dms:DateTime"/>
      </xsd:simpleType>
    </xsd:element>
    <xsd:element name="Direction" ma:index="15" nillable="true" ma:displayName="E-postretning" ma:internalName="Direction">
      <xsd:simpleType>
        <xsd:restriction base="dms:Choice">
          <xsd:enumeration value="Inngående"/>
          <xsd:enumeration value="Utgående"/>
        </xsd:restriction>
      </xsd:simpleType>
    </xsd:element>
    <xsd:element name="DocLink" ma:index="16" nillable="true" ma:displayName="Dokumentlink" ma:internalName="DocLink">
      <xsd:simpleType>
        <xsd:restriction base="dms:Note"/>
      </xsd:simpleType>
    </xsd:element>
    <xsd:element name="ConversationIndex" ma:index="17" nillable="true" ma:displayName="ConversationIndex" ma:internalName="ConversationIndex">
      <xsd:simpleType>
        <xsd:restriction base="dms:Text"/>
      </xsd:simpleType>
    </xsd:element>
    <xsd:element name="ConversationID" ma:index="18" nillable="true" ma:displayName="Samtale" ma:internalName="ConversationID">
      <xsd:simpleType>
        <xsd:restriction base="dms:Text"/>
      </xsd:simpleType>
    </xsd:element>
    <xsd:element name="ConversationTopic" ma:index="19" nillable="true" ma:displayName="Samtale emne" ma:internalName="ConversationTopic">
      <xsd:simpleType>
        <xsd:restriction base="dms:Text"/>
      </xsd:simpleType>
    </xsd:element>
    <xsd:element name="EmailId" ma:index="20" nillable="true" ma:displayName="EmailId" ma:internalName="EmailId">
      <xsd:simpleType>
        <xsd:restriction base="dms:Text"/>
      </xsd:simpleType>
    </xsd:element>
    <xsd:element name="CaseNo" ma:index="21" nillable="true" ma:displayName="Nr" ma:internalName="CaseNo">
      <xsd:simpleType>
        <xsd:restriction base="dms:Text"/>
      </xsd:simpleType>
    </xsd:element>
    <xsd:element name="CaseTitle" ma:index="22" nillable="true" ma:displayName="Elementtittel" ma:internalName="CaseTitle">
      <xsd:simpleType>
        <xsd:restriction base="dms:Text"/>
      </xsd:simpleType>
    </xsd:element>
    <xsd:element name="ParentCaseNo" ma:index="23" nillable="true" ma:displayName="Hovedsaksnr" ma:hidden="true" ma:internalName="ParentCaseNo">
      <xsd:simpleType>
        <xsd:restriction base="dms:Text"/>
      </xsd:simpleType>
    </xsd:element>
    <xsd:element name="ParentCaseTitle" ma:index="24" nillable="true" ma:displayName="Hovedsakstittel" ma:hidden="true" ma:internalName="ParentCaseTitle">
      <xsd:simpleType>
        <xsd:restriction base="dms:Text"/>
      </xsd:simpleType>
    </xsd:element>
    <xsd:element name="MailTo" ma:index="25" nillable="true" ma:displayName="Epost mottaker" ma:internalName="MailTo">
      <xsd:simpleType>
        <xsd:restriction base="dms:Note"/>
      </xsd:simpleType>
    </xsd:element>
    <xsd:element name="MailCC" ma:index="26" nillable="true" ma:displayName="Epost kopi" ma:internalName="MailCC">
      <xsd:simpleType>
        <xsd:restriction base="dms:Note"/>
      </xsd:simpleType>
    </xsd:element>
    <xsd:element name="MailFrom" ma:index="27" nillable="true" ma:displayName="Epost avsender" ma:internalName="MailFrom">
      <xsd:simpleType>
        <xsd:restriction base="dms:Text"/>
      </xsd:simpleType>
    </xsd:element>
    <xsd:element name="DocContentType" ma:index="28" nillable="true" ma:displayName="Doc_ContentType" ma:internalName="DocContentType">
      <xsd:simpleType>
        <xsd:restriction base="dms:Text"/>
      </xsd:simpleType>
    </xsd:element>
    <xsd:element name="NewDocumentsFromNonResponsible" ma:index="29" nillable="true" ma:displayName="Nye dokumenter" ma:internalName="NewDocumentsFromNonResponsible">
      <xsd:simpleType>
        <xsd:restriction base="dms:Boolean"/>
      </xsd:simpleType>
    </xsd:element>
    <xsd:element name="TaxCatchAll" ma:index="36" nillable="true" ma:displayName="Taxonomy Catch All Column" ma:hidden="true" ma:list="{0c17dd15-d1a1-474b-8529-0a978f005005}" ma:internalName="TaxCatchAll" ma:showField="CatchAllData" ma:web="1a3bd293-e230-494d-ae11-97895f9ef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540e0-c841-4800-be40-a5c7c79739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Bildemerkelapper" ma:readOnly="false" ma:fieldId="{5cf76f15-5ced-4ddc-b409-7134ff3c332f}" ma:taxonomyMulti="true" ma:sspId="9833873b-4c7c-4e0c-9eba-c1613a3c8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4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3bd293-e230-494d-ae11-97895f9ef522" xsi:nil="true"/>
    <ContactPersonCompanyID xmlns="1a3bd293-e230-494d-ae11-97895f9ef522">3833000</ContactPersonCompanyID>
    <EmailId xmlns="1a3bd293-e230-494d-ae11-97895f9ef522" xsi:nil="true"/>
    <ContactPersonCompany xmlns="1a3bd293-e230-494d-ae11-97895f9ef522">Cathinka Guldbergsenteret-Sykehjemmet</ContactPersonCompany>
    <Direction xmlns="1a3bd293-e230-494d-ae11-97895f9ef522">Inngående</Direction>
    <ContactPerson xmlns="1a3bd293-e230-494d-ae11-97895f9ef522">Ragnfrid, Mangor-Jensen,</ContactPerson>
    <lcf76f155ced4ddcb4097134ff3c332f xmlns="f97540e0-c841-4800-be40-a5c7c79739b0">
      <Terms xmlns="http://schemas.microsoft.com/office/infopath/2007/PartnerControls"/>
    </lcf76f155ced4ddcb4097134ff3c332f>
    <ContactPersonID xmlns="1a3bd293-e230-494d-ae11-97895f9ef522">5e6878df-b3f8-474d-9637-ebacae8b7e5f</ContactPersonID>
    <MailDate xmlns="1a3bd293-e230-494d-ae11-97895f9ef522">2025-03-20T16:40:38+00:00</MailDate>
    <CaseNo xmlns="1a3bd293-e230-494d-ae11-97895f9ef522">HENV00343641</CaseNo>
    <DocLink xmlns="1a3bd293-e230-494d-ae11-97895f9ef522">&lt;div&gt;&lt;a href="/sites/case16/CaseDocuments/4/20253/HENV00343641/Overenskomst%20%282024-26%29%20og%20hyretabell%20%282024-25%29%20Havforskningsinstituttet.eml"&gt;Overenskomst (2024-26) og hyretabell (2024-25) Havforskningsinstituttet.eml&lt;/a&gt;&lt;/div&gt;</DocLink>
    <DocumentType xmlns="1a3bd293-e230-494d-ae11-97895f9ef522" xsi:nil="true"/>
    <MailTo xmlns="1a3bd293-e230-494d-ae11-97895f9ef522">direkte@delta.no</MailTo>
    <ConversationTopic xmlns="1a3bd293-e230-494d-ae11-97895f9ef522" xsi:nil="true"/>
    <ParentCaseNo xmlns="1a3bd293-e230-494d-ae11-97895f9ef522" xsi:nil="true"/>
    <ConversationIndex xmlns="1a3bd293-e230-494d-ae11-97895f9ef522" xsi:nil="true"/>
    <MailCC xmlns="1a3bd293-e230-494d-ae11-97895f9ef522">svebe@delta.no</MailCC>
    <DocContentType xmlns="1a3bd293-e230-494d-ae11-97895f9ef522" xsi:nil="true"/>
    <CaseTitle xmlns="1a3bd293-e230-494d-ae11-97895f9ef522">Overenskomst (2024-26) og hyretabell (2024-25) Havforskningsinstituttet</CaseTitle>
    <NewDocumentsFromNonResponsible xmlns="1a3bd293-e230-494d-ae11-97895f9ef522">true</NewDocumentsFromNonResponsible>
    <MailFrom xmlns="1a3bd293-e230-494d-ae11-97895f9ef522">ragnfrid.mangor-jensen@hi.no</MailFrom>
    <RichDescription xmlns="1a3bd293-e230-494d-ae11-97895f9ef522" xsi:nil="true"/>
    <ConversationID xmlns="1a3bd293-e230-494d-ae11-97895f9ef522" xsi:nil="true"/>
    <ParentCaseTitle xmlns="1a3bd293-e230-494d-ae11-97895f9ef522" xsi:nil="true"/>
  </documentManagement>
</p:properties>
</file>

<file path=customXml/itemProps1.xml><?xml version="1.0" encoding="utf-8"?>
<ds:datastoreItem xmlns:ds="http://schemas.openxmlformats.org/officeDocument/2006/customXml" ds:itemID="{86BF3EF0-92C9-47FA-94B9-816BD01EC386}"/>
</file>

<file path=customXml/itemProps2.xml><?xml version="1.0" encoding="utf-8"?>
<ds:datastoreItem xmlns:ds="http://schemas.openxmlformats.org/officeDocument/2006/customXml" ds:itemID="{DD6D3956-8580-45E1-BA87-DE3BB0BC5F1F}"/>
</file>

<file path=customXml/itemProps3.xml><?xml version="1.0" encoding="utf-8"?>
<ds:datastoreItem xmlns:ds="http://schemas.openxmlformats.org/officeDocument/2006/customXml" ds:itemID="{F97F6148-DD51-4405-9CBD-BFC442815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Forhandlingsresultat</vt:lpstr>
      <vt:lpstr>TARIFFER</vt:lpstr>
      <vt:lpstr>Endringslogg-formler</vt:lpstr>
      <vt:lpstr>TARIFFER!Utskriftsområde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Hyretabell- 01.05.2024-31.04.2025</dc:title>
  <dc:creator>Svanhild Brakstad</dc:creator>
  <cp:lastModifiedBy>Skeistrand, Inger Lise</cp:lastModifiedBy>
  <cp:lastPrinted>2024-02-05T07:29:39Z</cp:lastPrinted>
  <dcterms:created xsi:type="dcterms:W3CDTF">2017-03-03T07:37:49Z</dcterms:created>
  <dcterms:modified xsi:type="dcterms:W3CDTF">2025-02-24T13:25:23Z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0x010100C21C21DB6D3BED4BA044FA92E61612E8008F6DBDF41610D247B2534EEDA300F05F</vt:lpwstr>
  </property>
  <property fmtid="{D5CDD505-2E9C-101B-9397-08002B2CF9AE}" pid="3" name="MediaServiceImageTags">
    <vt:lpwstr/>
  </property>
</Properties>
</file>